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defaultThemeVersion="124226"/>
  <bookViews>
    <workbookView xWindow="-15" yWindow="345" windowWidth="10260" windowHeight="7410" tabRatio="889" firstSheet="10" activeTab="38"/>
  </bookViews>
  <sheets>
    <sheet name="START" sheetId="352" r:id="rId1"/>
    <sheet name="Instructions" sheetId="354" r:id="rId2"/>
    <sheet name="Template names" sheetId="100" state="veryHidden" r:id="rId3"/>
    <sheet name="Lookup and lists" sheetId="344" state="veryHidden" r:id="rId4"/>
    <sheet name="Org structure" sheetId="347" r:id="rId5"/>
    <sheet name="Contacts" sheetId="355" r:id="rId6"/>
    <sheet name="A1-Sum" sheetId="86" r:id="rId7"/>
    <sheet name="A2-FinPerf SC" sheetId="133" r:id="rId8"/>
    <sheet name="A2A" sheetId="351" r:id="rId9"/>
    <sheet name="A3-FinPerf V" sheetId="233" r:id="rId10"/>
    <sheet name="A3A" sheetId="342" r:id="rId11"/>
    <sheet name="A4-FinPerf RE" sheetId="127" r:id="rId12"/>
    <sheet name="A5-Capex" sheetId="126" r:id="rId13"/>
    <sheet name="A5A" sheetId="343" r:id="rId14"/>
    <sheet name="A6-FinPos" sheetId="129" r:id="rId15"/>
    <sheet name="A7-CFlow" sheetId="131" r:id="rId16"/>
    <sheet name="A8-ResRecon" sheetId="237" r:id="rId17"/>
    <sheet name="A9-Asset" sheetId="248" r:id="rId18"/>
    <sheet name="A10-SerDel" sheetId="253" r:id="rId19"/>
    <sheet name="SA1" sheetId="255" r:id="rId20"/>
    <sheet name="SA2" sheetId="246" r:id="rId21"/>
    <sheet name="SA3" sheetId="128" r:id="rId22"/>
    <sheet name="SA4" sheetId="141" r:id="rId23"/>
    <sheet name="SA5" sheetId="315" r:id="rId24"/>
    <sheet name="SA6" sheetId="314" r:id="rId25"/>
    <sheet name="SA7" sheetId="147" r:id="rId26"/>
    <sheet name="SA8" sheetId="88" r:id="rId27"/>
    <sheet name="SA9" sheetId="235" r:id="rId28"/>
    <sheet name="SA10" sheetId="123" r:id="rId29"/>
    <sheet name="SA11" sheetId="336" r:id="rId30"/>
    <sheet name="SA12a" sheetId="335" r:id="rId31"/>
    <sheet name="SA12b" sheetId="360" r:id="rId32"/>
    <sheet name="SA13" sheetId="361" r:id="rId33"/>
    <sheet name="SA14" sheetId="337" r:id="rId34"/>
    <sheet name="SA15" sheetId="142" r:id="rId35"/>
    <sheet name="SA16" sheetId="143" r:id="rId36"/>
    <sheet name="SA17" sheetId="144" r:id="rId37"/>
    <sheet name="SA18" sheetId="136" r:id="rId38"/>
    <sheet name="SA19" sheetId="249" r:id="rId39"/>
    <sheet name="SA20" sheetId="316" r:id="rId40"/>
    <sheet name="SA21" sheetId="305" r:id="rId41"/>
    <sheet name="SA22" sheetId="146" r:id="rId42"/>
    <sheet name="SA23" sheetId="145" r:id="rId43"/>
    <sheet name="SA24" sheetId="148" r:id="rId44"/>
    <sheet name="SA25" sheetId="137" r:id="rId45"/>
    <sheet name="SA26" sheetId="299" r:id="rId46"/>
    <sheet name="SA27" sheetId="298" r:id="rId47"/>
    <sheet name="SA28" sheetId="140" r:id="rId48"/>
    <sheet name="SA29" sheetId="300" r:id="rId49"/>
    <sheet name="SA30" sheetId="95" r:id="rId50"/>
    <sheet name="SA31" sheetId="301" r:id="rId51"/>
    <sheet name="SA32" sheetId="250" r:id="rId52"/>
    <sheet name="SA33" sheetId="139" r:id="rId53"/>
    <sheet name="SA34a" sheetId="134" r:id="rId54"/>
    <sheet name="SA34b" sheetId="350" r:id="rId55"/>
    <sheet name="SA34c" sheetId="349" r:id="rId56"/>
    <sheet name="SA34d" sheetId="358" r:id="rId57"/>
    <sheet name="SA35" sheetId="294" r:id="rId58"/>
    <sheet name="SA36" sheetId="256" r:id="rId59"/>
    <sheet name="SA37" sheetId="296" r:id="rId60"/>
    <sheet name="NERF" sheetId="338" state="hidden" r:id="rId61"/>
    <sheet name="MSCOA" sheetId="339" state="hidden" r:id="rId62"/>
    <sheet name="Compliance assessment" sheetId="348" state="hidden" r:id="rId63"/>
  </sheets>
  <externalReferences>
    <externalReference r:id="rId64"/>
    <externalReference r:id="rId65"/>
    <externalReference r:id="rId66"/>
    <externalReference r:id="rId67"/>
    <externalReference r:id="rId68"/>
    <externalReference r:id="rId69"/>
    <externalReference r:id="rId70"/>
  </externalReferences>
  <definedNames>
    <definedName name="__ADJ1">'[1]Template names'!#REF!</definedName>
    <definedName name="__ADJ10">'[1]Template names'!$B$76</definedName>
    <definedName name="__ADJ11">'[1]Template names'!#REF!</definedName>
    <definedName name="__ADJ12">'[1]Template names'!#REF!</definedName>
    <definedName name="__ADJ13">'[1]Template names'!#REF!</definedName>
    <definedName name="__ADJ14">'[1]Template names'!#REF!</definedName>
    <definedName name="__ADJ16">'[1]Template names'!#REF!</definedName>
    <definedName name="__ADJ17">'[1]Template names'!#REF!</definedName>
    <definedName name="__ADJ18">'[1]Template names'!#REF!</definedName>
    <definedName name="__ADJ19">'[1]Template names'!#REF!</definedName>
    <definedName name="__ADJ2">'[1]Template names'!$B$68</definedName>
    <definedName name="__ADJ3">'[1]Template names'!$B$69</definedName>
    <definedName name="__ADJ4">'[1]Template names'!$B$70</definedName>
    <definedName name="__ADJ5">'[1]Template names'!$B$71</definedName>
    <definedName name="__ADJ6">'[1]Template names'!$B$72</definedName>
    <definedName name="__ADJ7">'[1]Template names'!$B$73</definedName>
    <definedName name="__ADJ8">'[1]Template names'!$B$74</definedName>
    <definedName name="__ADJ9">'[1]Template names'!$B$75</definedName>
    <definedName name="__ccf04">#REF!</definedName>
    <definedName name="__ccf05">#REF!</definedName>
    <definedName name="__ccf06">#REF!</definedName>
    <definedName name="__ccf07">#REF!</definedName>
    <definedName name="__ccf08">#REF!</definedName>
    <definedName name="__ccf09">#REF!</definedName>
    <definedName name="__ccf10">#REF!</definedName>
    <definedName name="__ccf11">#REF!</definedName>
    <definedName name="__ccf12">#REF!</definedName>
    <definedName name="__ccf13">#REF!</definedName>
    <definedName name="__cpi1">'[2]Balance Sheet'!$D$50</definedName>
    <definedName name="__cpi2">'[2]Balance Sheet'!$E$50</definedName>
    <definedName name="__cpi3">'[2]Balance Sheet'!$F$50</definedName>
    <definedName name="__ecf04">#REF!</definedName>
    <definedName name="__ecf05">#REF!</definedName>
    <definedName name="__ecf06">#REF!</definedName>
    <definedName name="__ecf07">#REF!</definedName>
    <definedName name="__ecf08">#REF!</definedName>
    <definedName name="__ecf09">#REF!</definedName>
    <definedName name="__ecf10">#REF!</definedName>
    <definedName name="__ecf11">#REF!</definedName>
    <definedName name="__ecf12">#REF!</definedName>
    <definedName name="__ecf13">#REF!</definedName>
    <definedName name="__emp04">#REF!</definedName>
    <definedName name="__emp05">#REF!</definedName>
    <definedName name="__emp06">#REF!</definedName>
    <definedName name="__emp07">#REF!</definedName>
    <definedName name="__emp08">#REF!</definedName>
    <definedName name="__emp09">#REF!</definedName>
    <definedName name="__emp10">#REF!</definedName>
    <definedName name="__emp11">#REF!</definedName>
    <definedName name="__emp12">#REF!</definedName>
    <definedName name="__emp13">#REF!</definedName>
    <definedName name="__emp14">#REF!</definedName>
    <definedName name="__emp15">#REF!</definedName>
    <definedName name="__emp16">#REF!</definedName>
    <definedName name="__emp17">#REF!</definedName>
    <definedName name="__emp18">#REF!</definedName>
    <definedName name="__emp19">#REF!</definedName>
    <definedName name="__emp20">#REF!</definedName>
    <definedName name="__emp21">#REF!</definedName>
    <definedName name="__inf1">#REF!</definedName>
    <definedName name="__inf2">#REF!</definedName>
    <definedName name="__inf3">#REF!</definedName>
    <definedName name="__int04">#REF!</definedName>
    <definedName name="__int05">#REF!</definedName>
    <definedName name="__int06">#REF!</definedName>
    <definedName name="__int07">#REF!</definedName>
    <definedName name="__int08">#REF!</definedName>
    <definedName name="__int09">#REF!</definedName>
    <definedName name="__int10">#REF!</definedName>
    <definedName name="__int11">#REF!</definedName>
    <definedName name="__int12">#REF!</definedName>
    <definedName name="__int13">#REF!</definedName>
    <definedName name="__int14">#REF!</definedName>
    <definedName name="__int15">#REF!</definedName>
    <definedName name="__int16">#REF!</definedName>
    <definedName name="__int17">#REF!</definedName>
    <definedName name="__int18">#REF!</definedName>
    <definedName name="__int19">#REF!</definedName>
    <definedName name="__int20">#REF!</definedName>
    <definedName name="__inv04">#REF!</definedName>
    <definedName name="__inv05">#REF!</definedName>
    <definedName name="__inv06">#REF!</definedName>
    <definedName name="__inv07">#REF!</definedName>
    <definedName name="__inv08">#REF!</definedName>
    <definedName name="__inv09">#REF!</definedName>
    <definedName name="__inv10">#REF!</definedName>
    <definedName name="__inv11">#REF!</definedName>
    <definedName name="__inv12">#REF!</definedName>
    <definedName name="__inv13">#REF!</definedName>
    <definedName name="__MEB1">'[1]Template names'!#REF!</definedName>
    <definedName name="__MEB10">'[1]Template names'!#REF!</definedName>
    <definedName name="__MEB11">'[1]Template names'!#REF!</definedName>
    <definedName name="__MEB12">'[1]Template names'!#REF!</definedName>
    <definedName name="__MEB2">'[1]Template names'!#REF!</definedName>
    <definedName name="__MEB3">'[1]Template names'!#REF!</definedName>
    <definedName name="__MEB4">'[1]Template names'!#REF!</definedName>
    <definedName name="__MEB5">'[1]Template names'!#REF!</definedName>
    <definedName name="__MEB6">'[1]Template names'!#REF!</definedName>
    <definedName name="__MEB7">'[1]Template names'!#REF!</definedName>
    <definedName name="__MEB8">'[1]Template names'!#REF!</definedName>
    <definedName name="__MEB9">'[1]Template names'!#REF!</definedName>
    <definedName name="__MER1">'[1]Template names'!#REF!</definedName>
    <definedName name="__MER10">'[1]Template names'!#REF!</definedName>
    <definedName name="__MER11">'[1]Template names'!#REF!</definedName>
    <definedName name="__MER2">'[1]Template names'!#REF!</definedName>
    <definedName name="__MER3">'[1]Template names'!#REF!</definedName>
    <definedName name="__MER4">'[1]Template names'!#REF!</definedName>
    <definedName name="__MER5">'[1]Template names'!#REF!</definedName>
    <definedName name="__MER6">'[1]Template names'!#REF!</definedName>
    <definedName name="__MER7">'[1]Template names'!#REF!</definedName>
    <definedName name="__MER8">'[1]Template names'!#REF!</definedName>
    <definedName name="__MER9">'[1]Template names'!#REF!</definedName>
    <definedName name="__rat03">#REF!</definedName>
    <definedName name="__rat04">#REF!</definedName>
    <definedName name="__rat05">#REF!</definedName>
    <definedName name="__rat06">#REF!</definedName>
    <definedName name="__rat07">#REF!</definedName>
    <definedName name="__rat08">#REF!</definedName>
    <definedName name="__rat09">#REF!</definedName>
    <definedName name="__rat10">#REF!</definedName>
    <definedName name="__rat11">#REF!</definedName>
    <definedName name="__rat12">#REF!</definedName>
    <definedName name="__rat13">#REF!</definedName>
    <definedName name="__rgr05">#REF!</definedName>
    <definedName name="__rgr06">#REF!</definedName>
    <definedName name="__rgr07">#REF!</definedName>
    <definedName name="__rgr08">#REF!</definedName>
    <definedName name="__rgr09">#REF!</definedName>
    <definedName name="__rgr10">#REF!</definedName>
    <definedName name="__rgr11">#REF!</definedName>
    <definedName name="__rgr12">#REF!</definedName>
    <definedName name="__rgr13">#REF!</definedName>
    <definedName name="__rgr14">#REF!</definedName>
    <definedName name="__rgr15">#REF!</definedName>
    <definedName name="__rgr16">#REF!</definedName>
    <definedName name="__rgr17">#REF!</definedName>
    <definedName name="__rgr18">#REF!</definedName>
    <definedName name="__rgr19">#REF!</definedName>
    <definedName name="__rgr20">#REF!</definedName>
    <definedName name="__rmc05">#REF!</definedName>
    <definedName name="__rmc06">#REF!</definedName>
    <definedName name="__rmc07">#REF!</definedName>
    <definedName name="__rmc08">#REF!</definedName>
    <definedName name="__rmc09">#REF!</definedName>
    <definedName name="__rmc10">#REF!</definedName>
    <definedName name="__rmc11">#REF!</definedName>
    <definedName name="__rmc12">#REF!</definedName>
    <definedName name="__rmc13">#REF!</definedName>
    <definedName name="__rmc14">#REF!</definedName>
    <definedName name="__rmc15">#REF!</definedName>
    <definedName name="__rmc16">#REF!</definedName>
    <definedName name="__rmc17">#REF!</definedName>
    <definedName name="__rmc18">#REF!</definedName>
    <definedName name="__rmc19">#REF!</definedName>
    <definedName name="__rmc20">#REF!</definedName>
    <definedName name="__rmc21">#REF!</definedName>
    <definedName name="__sdc05">#REF!</definedName>
    <definedName name="__sdc06">#REF!</definedName>
    <definedName name="__sdc07">#REF!</definedName>
    <definedName name="__sdc08">#REF!</definedName>
    <definedName name="__sdc09">#REF!</definedName>
    <definedName name="__sdc10">#REF!</definedName>
    <definedName name="__sdc11">#REF!</definedName>
    <definedName name="__sdc12">#REF!</definedName>
    <definedName name="__sdc13">#REF!</definedName>
    <definedName name="__sdc14">#REF!</definedName>
    <definedName name="__sdc15">#REF!</definedName>
    <definedName name="__sdc16">#REF!</definedName>
    <definedName name="__sdc17">#REF!</definedName>
    <definedName name="__sdc18">#REF!</definedName>
    <definedName name="__sdc19">#REF!</definedName>
    <definedName name="__sdc20">#REF!</definedName>
    <definedName name="__wc05">#REF!</definedName>
    <definedName name="__wc06">#REF!</definedName>
    <definedName name="__wc07">#REF!</definedName>
    <definedName name="__wc08">#REF!</definedName>
    <definedName name="__wc09">#REF!</definedName>
    <definedName name="__wc10">#REF!</definedName>
    <definedName name="__wc11">#REF!</definedName>
    <definedName name="__wc12">#REF!</definedName>
    <definedName name="__wc13">#REF!</definedName>
    <definedName name="__wc14">#REF!</definedName>
    <definedName name="__wc15">#REF!</definedName>
    <definedName name="__wc16">#REF!</definedName>
    <definedName name="__wc17">#REF!</definedName>
    <definedName name="__wc18">#REF!</definedName>
    <definedName name="__wc19">#REF!</definedName>
    <definedName name="__wc20">#REF!</definedName>
    <definedName name="_16">[3]AANT!#REF!</definedName>
    <definedName name="_ADJ1" localSheetId="31">'Template names'!#REF!</definedName>
    <definedName name="_ADJ1" localSheetId="32">'Template names'!#REF!</definedName>
    <definedName name="_ADJ1" localSheetId="56">'Template names'!#REF!</definedName>
    <definedName name="_ADJ1">'Template names'!#REF!</definedName>
    <definedName name="_ADJ10" localSheetId="31">'Template names'!#REF!</definedName>
    <definedName name="_ADJ10" localSheetId="32">'Template names'!#REF!</definedName>
    <definedName name="_ADJ10" localSheetId="56">'Template names'!#REF!</definedName>
    <definedName name="_ADJ10">'Template names'!#REF!</definedName>
    <definedName name="_ADJ11" localSheetId="31">'Template names'!#REF!</definedName>
    <definedName name="_ADJ11" localSheetId="32">'Template names'!#REF!</definedName>
    <definedName name="_ADJ11" localSheetId="56">'Template names'!#REF!</definedName>
    <definedName name="_ADJ11">'Template names'!#REF!</definedName>
    <definedName name="_ADJ12" localSheetId="31">'Template names'!#REF!</definedName>
    <definedName name="_ADJ12" localSheetId="32">'Template names'!#REF!</definedName>
    <definedName name="_ADJ12" localSheetId="56">'Template names'!#REF!</definedName>
    <definedName name="_ADJ12">'Template names'!#REF!</definedName>
    <definedName name="_ADJ13" localSheetId="31">'Template names'!#REF!</definedName>
    <definedName name="_ADJ13" localSheetId="32">'Template names'!#REF!</definedName>
    <definedName name="_ADJ13" localSheetId="56">'Template names'!#REF!</definedName>
    <definedName name="_ADJ13">'Template names'!#REF!</definedName>
    <definedName name="_ADJ14" localSheetId="31">'Template names'!#REF!</definedName>
    <definedName name="_ADJ14" localSheetId="32">'Template names'!#REF!</definedName>
    <definedName name="_ADJ14" localSheetId="56">'Template names'!#REF!</definedName>
    <definedName name="_ADJ14">'Template names'!#REF!</definedName>
    <definedName name="_ADJ16" localSheetId="31">'Template names'!#REF!</definedName>
    <definedName name="_ADJ16" localSheetId="32">'Template names'!#REF!</definedName>
    <definedName name="_ADJ16" localSheetId="56">'Template names'!#REF!</definedName>
    <definedName name="_ADJ16">'Template names'!#REF!</definedName>
    <definedName name="_ADJ17" localSheetId="31">'Template names'!#REF!</definedName>
    <definedName name="_ADJ17" localSheetId="32">'Template names'!#REF!</definedName>
    <definedName name="_ADJ17" localSheetId="56">'Template names'!#REF!</definedName>
    <definedName name="_ADJ17">'Template names'!#REF!</definedName>
    <definedName name="_ADJ18" localSheetId="31">'Template names'!#REF!</definedName>
    <definedName name="_ADJ18" localSheetId="32">'Template names'!#REF!</definedName>
    <definedName name="_ADJ18" localSheetId="56">'Template names'!#REF!</definedName>
    <definedName name="_ADJ18">'Template names'!#REF!</definedName>
    <definedName name="_ADJ19" localSheetId="31">'Template names'!#REF!</definedName>
    <definedName name="_ADJ19" localSheetId="32">'Template names'!#REF!</definedName>
    <definedName name="_ADJ19" localSheetId="56">'Template names'!#REF!</definedName>
    <definedName name="_ADJ19">'Template names'!#REF!</definedName>
    <definedName name="_ADJ2" localSheetId="31">'Template names'!#REF!</definedName>
    <definedName name="_ADJ2" localSheetId="32">'Template names'!#REF!</definedName>
    <definedName name="_ADJ2" localSheetId="56">'Template names'!#REF!</definedName>
    <definedName name="_ADJ2">'Template names'!#REF!</definedName>
    <definedName name="_ADJ3" localSheetId="31">'Template names'!#REF!</definedName>
    <definedName name="_ADJ3" localSheetId="32">'Template names'!#REF!</definedName>
    <definedName name="_ADJ3" localSheetId="56">'Template names'!#REF!</definedName>
    <definedName name="_ADJ3">'Template names'!#REF!</definedName>
    <definedName name="_ADJ4" localSheetId="31">'Template names'!#REF!</definedName>
    <definedName name="_ADJ4" localSheetId="32">'Template names'!#REF!</definedName>
    <definedName name="_ADJ4" localSheetId="56">'Template names'!#REF!</definedName>
    <definedName name="_ADJ4">'Template names'!#REF!</definedName>
    <definedName name="_ADJ5" localSheetId="31">'Template names'!#REF!</definedName>
    <definedName name="_ADJ5" localSheetId="32">'Template names'!#REF!</definedName>
    <definedName name="_ADJ5" localSheetId="56">'Template names'!#REF!</definedName>
    <definedName name="_ADJ5">'Template names'!#REF!</definedName>
    <definedName name="_ADJ6" localSheetId="31">'Template names'!#REF!</definedName>
    <definedName name="_ADJ6" localSheetId="32">'Template names'!#REF!</definedName>
    <definedName name="_ADJ6" localSheetId="56">'Template names'!#REF!</definedName>
    <definedName name="_ADJ6">'Template names'!#REF!</definedName>
    <definedName name="_ADJ7" localSheetId="31">'Template names'!#REF!</definedName>
    <definedName name="_ADJ7" localSheetId="32">'Template names'!#REF!</definedName>
    <definedName name="_ADJ7" localSheetId="56">'Template names'!#REF!</definedName>
    <definedName name="_ADJ7">'Template names'!#REF!</definedName>
    <definedName name="_ADJ8" localSheetId="31">'Template names'!#REF!</definedName>
    <definedName name="_ADJ8" localSheetId="32">'Template names'!#REF!</definedName>
    <definedName name="_ADJ8" localSheetId="56">'Template names'!#REF!</definedName>
    <definedName name="_ADJ8">'Template names'!#REF!</definedName>
    <definedName name="_ADJ9" localSheetId="31">'Template names'!#REF!</definedName>
    <definedName name="_ADJ9" localSheetId="32">'Template names'!#REF!</definedName>
    <definedName name="_ADJ9" localSheetId="56">'Template names'!#REF!</definedName>
    <definedName name="_ADJ9">'Template names'!#REF!</definedName>
    <definedName name="_bdm034">#REF!</definedName>
    <definedName name="_ccf04" localSheetId="31">#REF!</definedName>
    <definedName name="_ccf04" localSheetId="32">#REF!</definedName>
    <definedName name="_ccf04" localSheetId="56">#REF!</definedName>
    <definedName name="_ccf04">#REF!</definedName>
    <definedName name="_ccf05" localSheetId="31">#REF!</definedName>
    <definedName name="_ccf05" localSheetId="32">#REF!</definedName>
    <definedName name="_ccf05" localSheetId="56">#REF!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'[2]Balance Sheet'!$D$50</definedName>
    <definedName name="_cpi2">'[2]Balance Sheet'!$E$50</definedName>
    <definedName name="_cpi3">'[2]Balance Sheet'!$F$50</definedName>
    <definedName name="_DEP1">'Template names'!$B$71</definedName>
    <definedName name="_DEP10">'Template names'!$B$80</definedName>
    <definedName name="_DEP11">'Template names'!$B$81</definedName>
    <definedName name="_DEP12">'Template names'!$B$82</definedName>
    <definedName name="_DEP13">'Template names'!$B$83</definedName>
    <definedName name="_DEP14">'Template names'!$B$84</definedName>
    <definedName name="_DEP2">'Template names'!$B$72</definedName>
    <definedName name="_DEP3">'Template names'!$B$73</definedName>
    <definedName name="_DEP4">'Template names'!$B$74</definedName>
    <definedName name="_DEP5">'Template names'!$B$75</definedName>
    <definedName name="_DEP6">'Template names'!$B$76</definedName>
    <definedName name="_DEP7">'Template names'!$B$77</definedName>
    <definedName name="_DEP8">'Template names'!$B$78</definedName>
    <definedName name="_DEP9">'Template names'!$B$79</definedName>
    <definedName name="_ecf04" localSheetId="31">#REF!</definedName>
    <definedName name="_ecf04" localSheetId="32">#REF!</definedName>
    <definedName name="_ecf04" localSheetId="56">#REF!</definedName>
    <definedName name="_ecf04">#REF!</definedName>
    <definedName name="_ecf05" localSheetId="31">#REF!</definedName>
    <definedName name="_ecf05" localSheetId="32">#REF!</definedName>
    <definedName name="_ecf05" localSheetId="56">#REF!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31">#REF!</definedName>
    <definedName name="_emp04" localSheetId="32">#REF!</definedName>
    <definedName name="_emp04" localSheetId="56">#REF!</definedName>
    <definedName name="_emp04">#REF!</definedName>
    <definedName name="_emp05" localSheetId="31">#REF!</definedName>
    <definedName name="_emp05" localSheetId="32">#REF!</definedName>
    <definedName name="_emp05" localSheetId="56">#REF!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Ent1">'Template names'!$B$96</definedName>
    <definedName name="_Ent2">'Template names'!$B$97</definedName>
    <definedName name="_Ent3">'Template names'!$B$98</definedName>
    <definedName name="_xlnm._FilterDatabase" localSheetId="4" hidden="1">'Org structure'!$A$1:$D$166</definedName>
    <definedName name="_inf1" localSheetId="31">#REF!</definedName>
    <definedName name="_inf1" localSheetId="32">#REF!</definedName>
    <definedName name="_inf1" localSheetId="56">#REF!</definedName>
    <definedName name="_inf1">#REF!</definedName>
    <definedName name="_inf2" localSheetId="31">#REF!</definedName>
    <definedName name="_inf2" localSheetId="32">#REF!</definedName>
    <definedName name="_inf2" localSheetId="56">#REF!</definedName>
    <definedName name="_inf2">#REF!</definedName>
    <definedName name="_inf3" localSheetId="31">#REF!</definedName>
    <definedName name="_inf3" localSheetId="32">#REF!</definedName>
    <definedName name="_inf3" localSheetId="56">#REF!</definedName>
    <definedName name="_inf3">#REF!</definedName>
    <definedName name="_int04" localSheetId="31">#REF!</definedName>
    <definedName name="_int04" localSheetId="32">#REF!</definedName>
    <definedName name="_int04" localSheetId="56">#REF!</definedName>
    <definedName name="_int04">#REF!</definedName>
    <definedName name="_int05" localSheetId="31">#REF!</definedName>
    <definedName name="_int05" localSheetId="32">#REF!</definedName>
    <definedName name="_int05" localSheetId="56">#REF!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31">#REF!</definedName>
    <definedName name="_inv04" localSheetId="32">#REF!</definedName>
    <definedName name="_inv04" localSheetId="56">#REF!</definedName>
    <definedName name="_inv04">#REF!</definedName>
    <definedName name="_inv05" localSheetId="31">#REF!</definedName>
    <definedName name="_inv05" localSheetId="32">#REF!</definedName>
    <definedName name="_inv05" localSheetId="56">#REF!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31">'Template names'!#REF!</definedName>
    <definedName name="_MEB1" localSheetId="32">'Template names'!#REF!</definedName>
    <definedName name="_MEB1" localSheetId="56">'Template names'!#REF!</definedName>
    <definedName name="_MEB1">'Template names'!#REF!</definedName>
    <definedName name="_MEB10" localSheetId="31">'Template names'!#REF!</definedName>
    <definedName name="_MEB10" localSheetId="32">'Template names'!#REF!</definedName>
    <definedName name="_MEB10" localSheetId="56">'Template names'!#REF!</definedName>
    <definedName name="_MEB10">'Template names'!#REF!</definedName>
    <definedName name="_MEB11" localSheetId="31">'Template names'!#REF!</definedName>
    <definedName name="_MEB11" localSheetId="32">'Template names'!#REF!</definedName>
    <definedName name="_MEB11" localSheetId="56">'Template names'!#REF!</definedName>
    <definedName name="_MEB11">'Template names'!#REF!</definedName>
    <definedName name="_MEB12" localSheetId="31">'Template names'!#REF!</definedName>
    <definedName name="_MEB12" localSheetId="32">'Template names'!#REF!</definedName>
    <definedName name="_MEB12" localSheetId="56">'Template names'!#REF!</definedName>
    <definedName name="_MEB12">'Template names'!#REF!</definedName>
    <definedName name="_MEB2" localSheetId="31">'Template names'!#REF!</definedName>
    <definedName name="_MEB2" localSheetId="32">'Template names'!#REF!</definedName>
    <definedName name="_MEB2" localSheetId="56">'Template names'!#REF!</definedName>
    <definedName name="_MEB2">'Template names'!#REF!</definedName>
    <definedName name="_MEB3" localSheetId="31">'Template names'!#REF!</definedName>
    <definedName name="_MEB3" localSheetId="32">'Template names'!#REF!</definedName>
    <definedName name="_MEB3" localSheetId="56">'Template names'!#REF!</definedName>
    <definedName name="_MEB3">'Template names'!#REF!</definedName>
    <definedName name="_MEB4" localSheetId="31">'Template names'!#REF!</definedName>
    <definedName name="_MEB4" localSheetId="32">'Template names'!#REF!</definedName>
    <definedName name="_MEB4" localSheetId="56">'Template names'!#REF!</definedName>
    <definedName name="_MEB4">'Template names'!#REF!</definedName>
    <definedName name="_MEB5" localSheetId="31">'Template names'!#REF!</definedName>
    <definedName name="_MEB5" localSheetId="32">'Template names'!#REF!</definedName>
    <definedName name="_MEB5" localSheetId="56">'Template names'!#REF!</definedName>
    <definedName name="_MEB5">'Template names'!#REF!</definedName>
    <definedName name="_MEB6" localSheetId="31">'Template names'!#REF!</definedName>
    <definedName name="_MEB6" localSheetId="32">'Template names'!#REF!</definedName>
    <definedName name="_MEB6" localSheetId="56">'Template names'!#REF!</definedName>
    <definedName name="_MEB6">'Template names'!#REF!</definedName>
    <definedName name="_MEB7" localSheetId="31">'Template names'!#REF!</definedName>
    <definedName name="_MEB7" localSheetId="32">'Template names'!#REF!</definedName>
    <definedName name="_MEB7" localSheetId="56">'Template names'!#REF!</definedName>
    <definedName name="_MEB7">'Template names'!#REF!</definedName>
    <definedName name="_MEB8" localSheetId="31">'Template names'!#REF!</definedName>
    <definedName name="_MEB8" localSheetId="32">'Template names'!#REF!</definedName>
    <definedName name="_MEB8" localSheetId="56">'Template names'!#REF!</definedName>
    <definedName name="_MEB8">'Template names'!#REF!</definedName>
    <definedName name="_MEB9" localSheetId="31">'Template names'!#REF!</definedName>
    <definedName name="_MEB9" localSheetId="32">'Template names'!#REF!</definedName>
    <definedName name="_MEB9" localSheetId="56">'Template names'!#REF!</definedName>
    <definedName name="_MEB9">'Template names'!#REF!</definedName>
    <definedName name="_MER1" localSheetId="31">'Template names'!#REF!</definedName>
    <definedName name="_MER1" localSheetId="32">'Template names'!#REF!</definedName>
    <definedName name="_MER1" localSheetId="56">'Template names'!#REF!</definedName>
    <definedName name="_MER1">'Template names'!#REF!</definedName>
    <definedName name="_MER10" localSheetId="31">'Template names'!#REF!</definedName>
    <definedName name="_MER10" localSheetId="32">'Template names'!#REF!</definedName>
    <definedName name="_MER10" localSheetId="56">'Template names'!#REF!</definedName>
    <definedName name="_MER10">'Template names'!#REF!</definedName>
    <definedName name="_MER11" localSheetId="31">'Template names'!#REF!</definedName>
    <definedName name="_MER11" localSheetId="32">'Template names'!#REF!</definedName>
    <definedName name="_MER11" localSheetId="56">'Template names'!#REF!</definedName>
    <definedName name="_MER11">'Template names'!#REF!</definedName>
    <definedName name="_MER2" localSheetId="31">'Template names'!#REF!</definedName>
    <definedName name="_MER2" localSheetId="32">'Template names'!#REF!</definedName>
    <definedName name="_MER2" localSheetId="56">'Template names'!#REF!</definedName>
    <definedName name="_MER2">'Template names'!#REF!</definedName>
    <definedName name="_MER3" localSheetId="31">'Template names'!#REF!</definedName>
    <definedName name="_MER3" localSheetId="32">'Template names'!#REF!</definedName>
    <definedName name="_MER3" localSheetId="56">'Template names'!#REF!</definedName>
    <definedName name="_MER3">'Template names'!#REF!</definedName>
    <definedName name="_MER4" localSheetId="31">'Template names'!#REF!</definedName>
    <definedName name="_MER4" localSheetId="32">'Template names'!#REF!</definedName>
    <definedName name="_MER4" localSheetId="56">'Template names'!#REF!</definedName>
    <definedName name="_MER4">'Template names'!#REF!</definedName>
    <definedName name="_MER5" localSheetId="31">'Template names'!#REF!</definedName>
    <definedName name="_MER5" localSheetId="32">'Template names'!#REF!</definedName>
    <definedName name="_MER5" localSheetId="56">'Template names'!#REF!</definedName>
    <definedName name="_MER5">'Template names'!#REF!</definedName>
    <definedName name="_MER6" localSheetId="31">'Template names'!#REF!</definedName>
    <definedName name="_MER6" localSheetId="32">'Template names'!#REF!</definedName>
    <definedName name="_MER6" localSheetId="56">'Template names'!#REF!</definedName>
    <definedName name="_MER6">'Template names'!#REF!</definedName>
    <definedName name="_MER7" localSheetId="31">'Template names'!#REF!</definedName>
    <definedName name="_MER7" localSheetId="32">'Template names'!#REF!</definedName>
    <definedName name="_MER7" localSheetId="56">'Template names'!#REF!</definedName>
    <definedName name="_MER7">'Template names'!#REF!</definedName>
    <definedName name="_MER8" localSheetId="31">'Template names'!#REF!</definedName>
    <definedName name="_MER8" localSheetId="32">'Template names'!#REF!</definedName>
    <definedName name="_MER8" localSheetId="56">'Template names'!#REF!</definedName>
    <definedName name="_MER8">'Template names'!#REF!</definedName>
    <definedName name="_MER9" localSheetId="31">'Template names'!#REF!</definedName>
    <definedName name="_MER9" localSheetId="32">'Template names'!#REF!</definedName>
    <definedName name="_MER9" localSheetId="56">'Template names'!#REF!</definedName>
    <definedName name="_MER9">'Template names'!#REF!</definedName>
    <definedName name="_rat03" localSheetId="31">#REF!</definedName>
    <definedName name="_rat03" localSheetId="32">#REF!</definedName>
    <definedName name="_rat03" localSheetId="56">#REF!</definedName>
    <definedName name="_rat03">#REF!</definedName>
    <definedName name="_rat04" localSheetId="31">#REF!</definedName>
    <definedName name="_rat04" localSheetId="32">#REF!</definedName>
    <definedName name="_rat04" localSheetId="56">#REF!</definedName>
    <definedName name="_rat04">#REF!</definedName>
    <definedName name="_rat05" localSheetId="31">#REF!</definedName>
    <definedName name="_rat05" localSheetId="32">#REF!</definedName>
    <definedName name="_rat05" localSheetId="56">#REF!</definedName>
    <definedName name="_rat05">#REF!</definedName>
    <definedName name="_rat06" localSheetId="31">#REF!</definedName>
    <definedName name="_rat06" localSheetId="32">#REF!</definedName>
    <definedName name="_rat06" localSheetId="56">#REF!</definedName>
    <definedName name="_rat06">#REF!</definedName>
    <definedName name="_rat07" localSheetId="31">#REF!</definedName>
    <definedName name="_rat07" localSheetId="32">#REF!</definedName>
    <definedName name="_rat07" localSheetId="56">#REF!</definedName>
    <definedName name="_rat07">#REF!</definedName>
    <definedName name="_rat08" localSheetId="31">#REF!</definedName>
    <definedName name="_rat08" localSheetId="32">#REF!</definedName>
    <definedName name="_rat08" localSheetId="56">#REF!</definedName>
    <definedName name="_rat08">#REF!</definedName>
    <definedName name="_rat09" localSheetId="31">#REF!</definedName>
    <definedName name="_rat09" localSheetId="32">#REF!</definedName>
    <definedName name="_rat09" localSheetId="56">#REF!</definedName>
    <definedName name="_rat09">#REF!</definedName>
    <definedName name="_rat10" localSheetId="31">#REF!</definedName>
    <definedName name="_rat10" localSheetId="32">#REF!</definedName>
    <definedName name="_rat10" localSheetId="56">#REF!</definedName>
    <definedName name="_rat10">#REF!</definedName>
    <definedName name="_rat11" localSheetId="31">#REF!</definedName>
    <definedName name="_rat11" localSheetId="32">#REF!</definedName>
    <definedName name="_rat11" localSheetId="56">#REF!</definedName>
    <definedName name="_rat11">#REF!</definedName>
    <definedName name="_rat12" localSheetId="31">#REF!</definedName>
    <definedName name="_rat12" localSheetId="32">#REF!</definedName>
    <definedName name="_rat12" localSheetId="56">#REF!</definedName>
    <definedName name="_rat12">#REF!</definedName>
    <definedName name="_rat13" localSheetId="31">#REF!</definedName>
    <definedName name="_rat13" localSheetId="32">#REF!</definedName>
    <definedName name="_rat13" localSheetId="56">#REF!</definedName>
    <definedName name="_rat13">#REF!</definedName>
    <definedName name="_rgr05" localSheetId="31">#REF!</definedName>
    <definedName name="_rgr05" localSheetId="32">#REF!</definedName>
    <definedName name="_rgr05" localSheetId="56">#REF!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31">#REF!</definedName>
    <definedName name="_rmc05" localSheetId="32">#REF!</definedName>
    <definedName name="_rmc05" localSheetId="56">#REF!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ch1">'[4]Template names'!#REF!</definedName>
    <definedName name="_Sch10">'[4]Template names'!#REF!</definedName>
    <definedName name="_sch11">'[4]Template names'!#REF!</definedName>
    <definedName name="_Sch2">'[4]Template names'!#REF!</definedName>
    <definedName name="_Sch3">'[4]Template names'!#REF!</definedName>
    <definedName name="_Sch4">'[4]Template names'!#REF!</definedName>
    <definedName name="_Sch5">'[4]Template names'!#REF!</definedName>
    <definedName name="_Sch6">'[4]Template names'!#REF!</definedName>
    <definedName name="_Sch7">'[4]Template names'!#REF!</definedName>
    <definedName name="_Sch8">'[4]Template names'!#REF!</definedName>
    <definedName name="_Sch9">'[4]Template names'!#REF!</definedName>
    <definedName name="_sdc05" localSheetId="31">#REF!</definedName>
    <definedName name="_sdc05" localSheetId="32">#REF!</definedName>
    <definedName name="_sdc05" localSheetId="56">#REF!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31">#REF!</definedName>
    <definedName name="_wc05" localSheetId="32">#REF!</definedName>
    <definedName name="_wc05" localSheetId="56">#REF!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ANHANGSEL_C">[3]C!#REF!</definedName>
    <definedName name="ADJ10plus" localSheetId="31">'Template names'!#REF!</definedName>
    <definedName name="ADJ10plus" localSheetId="32">'Template names'!#REF!</definedName>
    <definedName name="ADJ10plus" localSheetId="56">'Template names'!#REF!</definedName>
    <definedName name="ADJ10plus">'Template names'!#REF!</definedName>
    <definedName name="ADJ18A" localSheetId="31">'Template names'!#REF!</definedName>
    <definedName name="ADJ18A" localSheetId="32">'Template names'!#REF!</definedName>
    <definedName name="ADJ18A" localSheetId="56">'Template names'!#REF!</definedName>
    <definedName name="ADJ18A">'Template names'!#REF!</definedName>
    <definedName name="ADJ18B" localSheetId="31">'Template names'!#REF!</definedName>
    <definedName name="ADJ18B" localSheetId="32">'Template names'!#REF!</definedName>
    <definedName name="ADJ18B" localSheetId="56">'Template names'!#REF!</definedName>
    <definedName name="ADJ18B">'Template names'!#REF!</definedName>
    <definedName name="ADJ19B" localSheetId="31">'Template names'!#REF!</definedName>
    <definedName name="ADJ19B" localSheetId="32">'Template names'!#REF!</definedName>
    <definedName name="ADJ19B" localSheetId="56">'Template names'!#REF!</definedName>
    <definedName name="ADJ19B">'Template names'!#REF!</definedName>
    <definedName name="ADJ8A" localSheetId="31">'Template names'!#REF!</definedName>
    <definedName name="ADJ8A" localSheetId="32">'Template names'!#REF!</definedName>
    <definedName name="ADJ8A" localSheetId="56">'Template names'!#REF!</definedName>
    <definedName name="ADJ8A">'Template names'!#REF!</definedName>
    <definedName name="ADJ8B" localSheetId="31">'Template names'!#REF!</definedName>
    <definedName name="ADJ8B" localSheetId="32">'Template names'!#REF!</definedName>
    <definedName name="ADJ8B" localSheetId="56">'Template names'!#REF!</definedName>
    <definedName name="ADJ8B">'Template names'!#REF!</definedName>
    <definedName name="ADJB1">'[1]Template names'!$B$77</definedName>
    <definedName name="ADJB10">'[1]Template names'!$B$86</definedName>
    <definedName name="ADJB11">'[1]Template names'!$B$87</definedName>
    <definedName name="ADJB12">'[1]Template names'!$B$88</definedName>
    <definedName name="ADJB13">'[1]Template names'!$B$89</definedName>
    <definedName name="ADJB14">'[1]Template names'!$B$90</definedName>
    <definedName name="ADJB15">'[1]Template names'!$B$91</definedName>
    <definedName name="ADJB16">'[1]Template names'!$B$92</definedName>
    <definedName name="ADJB17">'[1]Template names'!$B$93</definedName>
    <definedName name="ADJB18a">'[1]Template names'!$B$94</definedName>
    <definedName name="ADJB18b">'[1]Template names'!$B$95</definedName>
    <definedName name="ADJB18c">'[1]Template names'!$B$96</definedName>
    <definedName name="ADJB19">'[1]Template names'!$B$97</definedName>
    <definedName name="ADJB2">'[1]Template names'!$B$78</definedName>
    <definedName name="ADJB20">'[1]Template names'!$B$98</definedName>
    <definedName name="ADJB3">'[1]Template names'!$B$79</definedName>
    <definedName name="ADJB4">'[1]Template names'!$B$80</definedName>
    <definedName name="ADJB5">'[1]Template names'!$B$81</definedName>
    <definedName name="ADJB6">'[1]Template names'!$B$82</definedName>
    <definedName name="ADJB7">'[1]Template names'!$B$83</definedName>
    <definedName name="ADJB8">'[1]Template names'!$B$84</definedName>
    <definedName name="ADJB9">'[1]Template names'!$B$85</definedName>
    <definedName name="ADJP1" localSheetId="31">'Template names'!#REF!</definedName>
    <definedName name="ADJP1" localSheetId="32">'Template names'!#REF!</definedName>
    <definedName name="ADJP1" localSheetId="56">'Template names'!#REF!</definedName>
    <definedName name="ADJP1">'Template names'!#REF!</definedName>
    <definedName name="adjsum" localSheetId="31">'Template names'!#REF!</definedName>
    <definedName name="adjsum" localSheetId="32">'Template names'!#REF!</definedName>
    <definedName name="adjsum" localSheetId="56">'Template names'!#REF!</definedName>
    <definedName name="adjsum">'Template names'!#REF!</definedName>
    <definedName name="ADJTB1" localSheetId="31">'Template names'!#REF!</definedName>
    <definedName name="ADJTB1" localSheetId="32">'Template names'!#REF!</definedName>
    <definedName name="ADJTB1" localSheetId="56">'Template names'!#REF!</definedName>
    <definedName name="ADJTB1">'Template names'!#REF!</definedName>
    <definedName name="ADJXX" localSheetId="31">'Template names'!#REF!</definedName>
    <definedName name="ADJXX" localSheetId="32">'Template names'!#REF!</definedName>
    <definedName name="ADJXX" localSheetId="56">'Template names'!#REF!</definedName>
    <definedName name="ADJXX">'Template names'!#REF!</definedName>
    <definedName name="ALGEMENE_INLIGT">[3]Alg!#REF!</definedName>
    <definedName name="Approve1">'Template names'!$B$100</definedName>
    <definedName name="Approve10">'Template names'!$B$109</definedName>
    <definedName name="Approve2">'Template names'!$B$102</definedName>
    <definedName name="Approve3">'Template names'!$B$101</definedName>
    <definedName name="Approve4">'Template names'!$B$103</definedName>
    <definedName name="Approve5">'Template names'!$B$104</definedName>
    <definedName name="Approve6">'Template names'!$B$105</definedName>
    <definedName name="Approve7">'Template names'!$B$106</definedName>
    <definedName name="Approve8">'Template names'!$B$107</definedName>
    <definedName name="Approve9">'Template names'!$B$108</definedName>
    <definedName name="Asset_Class">'Lookup and lists'!$Z$15:$Z$29</definedName>
    <definedName name="Asset_sub_class">'Lookup and lists'!$AA$15:$AA$59</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31">#REF!</definedName>
    <definedName name="balloon" localSheetId="32">#REF!</definedName>
    <definedName name="balloon" localSheetId="56">#REF!</definedName>
    <definedName name="balloon">#REF!</definedName>
    <definedName name="basedesc">'Template names'!$D$39:$D$39</definedName>
    <definedName name="baseindex">'Template names'!$B$88:$B$89</definedName>
    <definedName name="budget">#REF!</definedName>
    <definedName name="budget3">#REF!</definedName>
    <definedName name="Bus" localSheetId="31">#REF!</definedName>
    <definedName name="Bus" localSheetId="32">#REF!</definedName>
    <definedName name="Bus" localSheetId="56">#REF!</definedName>
    <definedName name="Bus">#REF!</definedName>
    <definedName name="capexfactor" localSheetId="31">#REF!</definedName>
    <definedName name="capexfactor" localSheetId="32">#REF!</definedName>
    <definedName name="capexfactor" localSheetId="56">#REF!</definedName>
    <definedName name="capexfactor">#REF!</definedName>
    <definedName name="capexlimit06">#REF!</definedName>
    <definedName name="capexlimit07">#REF!</definedName>
    <definedName name="capexlimit08">#REF!</definedName>
    <definedName name="capexlimit09">#REF!</definedName>
    <definedName name="capexrate04" localSheetId="31">#REF!</definedName>
    <definedName name="capexrate04" localSheetId="32">#REF!</definedName>
    <definedName name="capexrate04" localSheetId="56">#REF!</definedName>
    <definedName name="capexrate04">#REF!</definedName>
    <definedName name="capexrate05" localSheetId="31">#REF!</definedName>
    <definedName name="capexrate05" localSheetId="32">#REF!</definedName>
    <definedName name="capexrate05" localSheetId="56">#REF!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names'!$B$68</definedName>
    <definedName name="Cash2">'Template names'!$B$69</definedName>
    <definedName name="cfactor08">#REF!</definedName>
    <definedName name="cfactor09">#REF!</definedName>
    <definedName name="cfactor10">#REF!</definedName>
    <definedName name="cfactor11">#REF!</definedName>
    <definedName name="cfactor12">#REF!</definedName>
    <definedName name="cfactor13">#REF!</definedName>
    <definedName name="ChartA1">'Template names'!$B$154</definedName>
    <definedName name="ChartA10">'Template names'!$B$163</definedName>
    <definedName name="ChartA11">'Template names'!$B$164</definedName>
    <definedName name="ChartA12">'Template names'!$B$165</definedName>
    <definedName name="ChartA13">'Template names'!$B$166</definedName>
    <definedName name="ChartA2">'Template names'!$B$155</definedName>
    <definedName name="ChartA3">'Template names'!$B$156</definedName>
    <definedName name="ChartA4">'Template names'!$B$157</definedName>
    <definedName name="ChartA5">'Template names'!$B$158</definedName>
    <definedName name="ChartA6">'Template names'!$B$159</definedName>
    <definedName name="ChartA7">'Template names'!$B$160</definedName>
    <definedName name="ChartA8">'Template names'!$B$161</definedName>
    <definedName name="ChartA9">'Template names'!$B$162</definedName>
    <definedName name="choosebase">'Template names'!$B$89:$B$90</definedName>
    <definedName name="Consolques">'Template names'!$A$95</definedName>
    <definedName name="cpix04" localSheetId="31">#REF!</definedName>
    <definedName name="cpix04" localSheetId="32">#REF!</definedName>
    <definedName name="cpix04" localSheetId="56">#REF!</definedName>
    <definedName name="cpix04">#REF!</definedName>
    <definedName name="cpix05" localSheetId="31">#REF!</definedName>
    <definedName name="cpix05" localSheetId="32">#REF!</definedName>
    <definedName name="cpix05" localSheetId="56">#REF!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31">#REF!</definedName>
    <definedName name="credit06" localSheetId="32">#REF!</definedName>
    <definedName name="credit06" localSheetId="56">#REF!</definedName>
    <definedName name="credit06">#REF!</definedName>
    <definedName name="date">[5]Data!$B$2</definedName>
    <definedName name="debt03" localSheetId="31">#REF!</definedName>
    <definedName name="debt03" localSheetId="32">#REF!</definedName>
    <definedName name="debt03" localSheetId="56">#REF!</definedName>
    <definedName name="debt03">#REF!</definedName>
    <definedName name="debt04" localSheetId="31">#REF!</definedName>
    <definedName name="debt04" localSheetId="32">#REF!</definedName>
    <definedName name="debt04" localSheetId="56">#REF!</definedName>
    <definedName name="debt04">#REF!</definedName>
    <definedName name="debt05" localSheetId="31">#REF!</definedName>
    <definedName name="debt05" localSheetId="32">#REF!</definedName>
    <definedName name="debt05" localSheetId="56">#REF!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31">#REF!</definedName>
    <definedName name="debtrev04" localSheetId="32">#REF!</definedName>
    <definedName name="debtrev04" localSheetId="56">#REF!</definedName>
    <definedName name="debtrev04">#REF!</definedName>
    <definedName name="debtrev05" localSheetId="31">#REF!</definedName>
    <definedName name="debtrev05" localSheetId="32">#REF!</definedName>
    <definedName name="debtrev05" localSheetId="56">#REF!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'Template names'!$B$30</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31">#REF!</definedName>
    <definedName name="ecchoice" localSheetId="32">#REF!</definedName>
    <definedName name="ecchoice" localSheetId="56">#REF!</definedName>
    <definedName name="ecchoice">#REF!</definedName>
    <definedName name="elec05" localSheetId="31">#REF!</definedName>
    <definedName name="elec05" localSheetId="32">#REF!</definedName>
    <definedName name="elec05" localSheetId="56">#REF!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31">#REF!</definedName>
    <definedName name="eskom07" localSheetId="32">#REF!</definedName>
    <definedName name="eskom07" localSheetId="56">#REF!</definedName>
    <definedName name="eskom07">#REF!</definedName>
    <definedName name="FinYear">Instructions!$X$36</definedName>
    <definedName name="finyears" localSheetId="31">#REF!</definedName>
    <definedName name="finyears" localSheetId="32">#REF!</definedName>
    <definedName name="finyears" localSheetId="56">#REF!</definedName>
    <definedName name="finyears">#REF!</definedName>
    <definedName name="GrantNatCapex">'Lookup and lists'!$AB$2:$AB$9</definedName>
    <definedName name="GrantNatOpex">'Lookup and lists'!$Z$2:$Z$13</definedName>
    <definedName name="GrantProvCapex">'Lookup and lists'!$AC$2:$AC$9</definedName>
    <definedName name="GrantProvOpex">'Lookup and lists'!$AA$2:$AA$6</definedName>
    <definedName name="Head1">'Template names'!$B$2</definedName>
    <definedName name="Head10">'Template names'!$B$16</definedName>
    <definedName name="Head11">'Template names'!$B$17</definedName>
    <definedName name="Head12">'Template names'!$B$18</definedName>
    <definedName name="Head13">'Template names'!$B$19</definedName>
    <definedName name="Head14">'Template names'!$B$20</definedName>
    <definedName name="Head15">'Template names'!$B$21</definedName>
    <definedName name="Head16">'Template names'!$B$22</definedName>
    <definedName name="Head17">'Template names'!$B$23</definedName>
    <definedName name="Head18">'Template names'!$B$24</definedName>
    <definedName name="Head19">'Template names'!$B$25</definedName>
    <definedName name="head1A">'Template names'!$B$3</definedName>
    <definedName name="head1b">'Template names'!$B$4</definedName>
    <definedName name="Head2">'Template names'!$B$5</definedName>
    <definedName name="Head20">'Template names'!$B$26</definedName>
    <definedName name="Head21">'Template names'!$B$27</definedName>
    <definedName name="Head22">'Template names'!$B$28</definedName>
    <definedName name="Head23">'Template names'!$B$29</definedName>
    <definedName name="Head24">'Template names'!$B$30</definedName>
    <definedName name="Head25">'Template names'!$B$31</definedName>
    <definedName name="head27">'Template names'!$B$33</definedName>
    <definedName name="head27a">'Template names'!$B$34</definedName>
    <definedName name="Head29">'Template names'!$B$36</definedName>
    <definedName name="Head2A">'Template names'!$B$6</definedName>
    <definedName name="Head2B">'[4]Template names'!#REF!</definedName>
    <definedName name="Head3">'Template names'!$B$7</definedName>
    <definedName name="Head30">'Template names'!$B$37</definedName>
    <definedName name="Head31">'Template names'!$B$38</definedName>
    <definedName name="Head32">'Template names'!$B$39</definedName>
    <definedName name="Head33">'Template names'!$B$40</definedName>
    <definedName name="Head34">'Template names'!$B$41</definedName>
    <definedName name="Head35">'Template names'!$B$42</definedName>
    <definedName name="Head36">'Template names'!$B$43</definedName>
    <definedName name="Head37">'Template names'!$B$44</definedName>
    <definedName name="Head38">'Template names'!$B$45</definedName>
    <definedName name="Head39">'Template names'!$B$46</definedName>
    <definedName name="Head3a">'[1]Template names'!$B$8</definedName>
    <definedName name="Head4">'Template names'!$B$8</definedName>
    <definedName name="Head40">'Template names'!$B$47</definedName>
    <definedName name="Head41">'Template names'!$B$48</definedName>
    <definedName name="Head42">'Template names'!$B$49</definedName>
    <definedName name="Head43">'Template names'!$B$50</definedName>
    <definedName name="Head44">'Template names'!$B$51</definedName>
    <definedName name="Head45">'Template names'!$B$52</definedName>
    <definedName name="head46">'Template names'!$B$53</definedName>
    <definedName name="Head47">'Template names'!$B$54</definedName>
    <definedName name="Head48">'Template names'!$B$55</definedName>
    <definedName name="Head49">'Template names'!$B$56</definedName>
    <definedName name="Head5">'Template names'!$B$9</definedName>
    <definedName name="Head50">'Template names'!$B$57</definedName>
    <definedName name="Head51">'Template names'!$B$58</definedName>
    <definedName name="Head52">'Template names'!$B$59</definedName>
    <definedName name="Head53">'Template names'!$B$60</definedName>
    <definedName name="Head54">'Template names'!$B$61</definedName>
    <definedName name="Head55">'Template names'!$B$62</definedName>
    <definedName name="Head56">'Template names'!$B$63</definedName>
    <definedName name="Head5A">'Template names'!$B$10</definedName>
    <definedName name="Head5b">'Template names'!$B$11</definedName>
    <definedName name="Head6">'Template names'!$B$12</definedName>
    <definedName name="Head7">'Template names'!$B$13</definedName>
    <definedName name="Head8">'Template names'!$B$14</definedName>
    <definedName name="Head9">'Template names'!$B$15</definedName>
    <definedName name="Headings">'Lookup and lists'!$A$1:$O$24</definedName>
    <definedName name="hhgr05" localSheetId="31">#REF!</definedName>
    <definedName name="hhgr05" localSheetId="32">#REF!</definedName>
    <definedName name="hhgr05" localSheetId="56">#REF!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31">#REF!</definedName>
    <definedName name="incentive" localSheetId="32">#REF!</definedName>
    <definedName name="incentive" localSheetId="56">#REF!</definedName>
    <definedName name="incentive">#REF!</definedName>
    <definedName name="infra">#REF!</definedName>
    <definedName name="Infrarenewal">#REF!</definedName>
    <definedName name="infrastratnum">#REF!</definedName>
    <definedName name="Instructions">#REF!</definedName>
    <definedName name="inventory" localSheetId="31">#REF!</definedName>
    <definedName name="inventory" localSheetId="32">#REF!</definedName>
    <definedName name="inventory" localSheetId="56">#REF!</definedName>
    <definedName name="inventory">#REF!</definedName>
    <definedName name="List1">'Lookup and lists'!$Q$2:$Q$4</definedName>
    <definedName name="List2">'Lookup and lists'!$R$2:$R$8</definedName>
    <definedName name="List3">'Lookup and lists'!$S$2:$S$7</definedName>
    <definedName name="List4">'Lookup and lists'!$T$2:$T$4</definedName>
    <definedName name="List5">'Lookup and lists'!$U$2:$U$4</definedName>
    <definedName name="List6">'Lookup and lists'!$V$2:$V$3</definedName>
    <definedName name="List7">'Lookup and lists'!$W$2:$W$3</definedName>
    <definedName name="List8">'Lookup and lists'!$X$2:$X$3</definedName>
    <definedName name="longterm" localSheetId="31">#REF!</definedName>
    <definedName name="longterm" localSheetId="32">#REF!</definedName>
    <definedName name="longterm" localSheetId="56">#REF!</definedName>
    <definedName name="longterm">#REF!</definedName>
    <definedName name="MEAB1" localSheetId="31">'Template names'!#REF!</definedName>
    <definedName name="MEAB1" localSheetId="32">'Template names'!#REF!</definedName>
    <definedName name="MEAB1" localSheetId="56">'Template names'!#REF!</definedName>
    <definedName name="MEAB1">'Template names'!#REF!</definedName>
    <definedName name="MEAB10" localSheetId="31">'Template names'!#REF!</definedName>
    <definedName name="MEAB10" localSheetId="32">'Template names'!#REF!</definedName>
    <definedName name="MEAB10" localSheetId="56">'Template names'!#REF!</definedName>
    <definedName name="MEAB10">'Template names'!#REF!</definedName>
    <definedName name="MEAB11" localSheetId="31">'Template names'!#REF!</definedName>
    <definedName name="MEAB11" localSheetId="32">'Template names'!#REF!</definedName>
    <definedName name="MEAB11" localSheetId="56">'Template names'!#REF!</definedName>
    <definedName name="MEAB11">'Template names'!#REF!</definedName>
    <definedName name="MEAB2" localSheetId="31">'Template names'!#REF!</definedName>
    <definedName name="MEAB2" localSheetId="32">'Template names'!#REF!</definedName>
    <definedName name="MEAB2" localSheetId="56">'Template names'!#REF!</definedName>
    <definedName name="MEAB2">'Template names'!#REF!</definedName>
    <definedName name="MEAB3" localSheetId="31">'Template names'!#REF!</definedName>
    <definedName name="MEAB3" localSheetId="32">'Template names'!#REF!</definedName>
    <definedName name="MEAB3" localSheetId="56">'Template names'!#REF!</definedName>
    <definedName name="MEAB3">'Template names'!#REF!</definedName>
    <definedName name="MEAB4" localSheetId="31">'Template names'!#REF!</definedName>
    <definedName name="MEAB4" localSheetId="32">'Template names'!#REF!</definedName>
    <definedName name="MEAB4" localSheetId="56">'Template names'!#REF!</definedName>
    <definedName name="MEAB4">'Template names'!#REF!</definedName>
    <definedName name="MEAB5" localSheetId="31">'Template names'!#REF!</definedName>
    <definedName name="MEAB5" localSheetId="32">'Template names'!#REF!</definedName>
    <definedName name="MEAB5" localSheetId="56">'Template names'!#REF!</definedName>
    <definedName name="MEAB5">'Template names'!#REF!</definedName>
    <definedName name="MEAB6" localSheetId="31">'Template names'!#REF!</definedName>
    <definedName name="MEAB6" localSheetId="32">'Template names'!#REF!</definedName>
    <definedName name="MEAB6" localSheetId="56">'Template names'!#REF!</definedName>
    <definedName name="MEAB6">'Template names'!#REF!</definedName>
    <definedName name="MEAB7" localSheetId="31">'Template names'!#REF!</definedName>
    <definedName name="MEAB7" localSheetId="32">'Template names'!#REF!</definedName>
    <definedName name="MEAB7" localSheetId="56">'Template names'!#REF!</definedName>
    <definedName name="MEAB7">'Template names'!#REF!</definedName>
    <definedName name="MEAB8" localSheetId="31">'Template names'!#REF!</definedName>
    <definedName name="MEAB8" localSheetId="32">'Template names'!#REF!</definedName>
    <definedName name="MEAB8" localSheetId="56">'Template names'!#REF!</definedName>
    <definedName name="MEAB8">'Template names'!#REF!</definedName>
    <definedName name="MEAB9" localSheetId="31">'Template names'!#REF!</definedName>
    <definedName name="MEAB9" localSheetId="32">'Template names'!#REF!</definedName>
    <definedName name="MEAB9" localSheetId="56">'Template names'!#REF!</definedName>
    <definedName name="MEAB9">'Template names'!#REF!</definedName>
    <definedName name="MEABsum" localSheetId="31">'Template names'!#REF!</definedName>
    <definedName name="MEABsum" localSheetId="32">'Template names'!#REF!</definedName>
    <definedName name="MEABsum" localSheetId="56">'Template names'!#REF!</definedName>
    <definedName name="MEABsum">'Template names'!#REF!</definedName>
    <definedName name="MEB1A" localSheetId="31">'Template names'!#REF!</definedName>
    <definedName name="MEB1A" localSheetId="32">'Template names'!#REF!</definedName>
    <definedName name="MEB1A" localSheetId="56">'Template names'!#REF!</definedName>
    <definedName name="MEB1A">'Template names'!#REF!</definedName>
    <definedName name="MEBsum" localSheetId="31">'Template names'!#REF!</definedName>
    <definedName name="MEBsum" localSheetId="32">'Template names'!#REF!</definedName>
    <definedName name="MEBsum" localSheetId="56">'Template names'!#REF!</definedName>
    <definedName name="MEBsum">'Template names'!#REF!</definedName>
    <definedName name="MERsum" localSheetId="31">'Template names'!#REF!</definedName>
    <definedName name="MERsum" localSheetId="32">'Template names'!#REF!</definedName>
    <definedName name="MERsum" localSheetId="56">'Template names'!#REF!</definedName>
    <definedName name="MERsum">'Template names'!#REF!</definedName>
    <definedName name="month">[5]Data!$B$1</definedName>
    <definedName name="MTREF">Instructions!$X$34</definedName>
    <definedName name="muni">'Template names'!$B$93</definedName>
    <definedName name="MuniEntities">'Template names'!$B$94</definedName>
    <definedName name="MuniType">'Template names'!$D$94</definedName>
    <definedName name="NatCapexGrantNames">'[1]Lookup and lists'!$T$2:$T$7</definedName>
    <definedName name="NatOpexGrantNames">'[1]Lookup and lists'!$R$2:$R$8</definedName>
    <definedName name="nersa07" localSheetId="31">#REF!</definedName>
    <definedName name="nersa07" localSheetId="32">#REF!</definedName>
    <definedName name="nersa07" localSheetId="56">#REF!</definedName>
    <definedName name="nersa07">#REF!</definedName>
    <definedName name="nersa08" localSheetId="31">#REF!</definedName>
    <definedName name="nersa08" localSheetId="32">#REF!</definedName>
    <definedName name="nersa08" localSheetId="56">#REF!</definedName>
    <definedName name="nersa08">#REF!</definedName>
    <definedName name="nethhgr05" localSheetId="31">#REF!</definedName>
    <definedName name="nethhgr05" localSheetId="32">#REF!</definedName>
    <definedName name="nethhgr05" localSheetId="56">#REF!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[6]Names!$B$89</definedName>
    <definedName name="Orgstructurevotes">'Org structure'!$C$2</definedName>
    <definedName name="poorgr06">#REF!</definedName>
    <definedName name="_xlnm.Print_Area" localSheetId="18">'A10-SerDel'!$A$1:$K$87</definedName>
    <definedName name="_xlnm.Print_Area" localSheetId="6">'A1-Sum'!$A$1:$K$66</definedName>
    <definedName name="_xlnm.Print_Area" localSheetId="7">'A2-FinPerf SC'!$A$1:$K$54</definedName>
    <definedName name="_xlnm.Print_Area" localSheetId="10">A3A!$A$1:$K$344</definedName>
    <definedName name="_xlnm.Print_Area" localSheetId="9">'A3-FinPerf V'!$A$1:$K$43</definedName>
    <definedName name="_xlnm.Print_Area" localSheetId="11">'A4-FinPerf RE'!$A$1:$X$56</definedName>
    <definedName name="_xlnm.Print_Area" localSheetId="13">A5A!$A$1:$L$171</definedName>
    <definedName name="_xlnm.Print_Area" localSheetId="12">'A5-Capex'!$A$1:$L$84</definedName>
    <definedName name="_xlnm.Print_Area" localSheetId="14">'A6-FinPos'!$A$1:$L$54</definedName>
    <definedName name="_xlnm.Print_Area" localSheetId="15">'A7-CFlow'!$A$1:$L$41</definedName>
    <definedName name="_xlnm.Print_Area" localSheetId="16">'A8-ResRecon'!$A$1:$L$25</definedName>
    <definedName name="_xlnm.Print_Area" localSheetId="17">'A9-Asset'!$A$1:$K$93</definedName>
    <definedName name="_xlnm.Print_Area" localSheetId="5">Contacts!$A$1:$D$72</definedName>
    <definedName name="_xlnm.Print_Area" localSheetId="1">Instructions!$A$1:$M$47</definedName>
    <definedName name="_xlnm.Print_Area" localSheetId="60">NERF!$A$1:$M$68</definedName>
    <definedName name="_xlnm.Print_Area" localSheetId="19">'SA1'!$A$1:$L$182</definedName>
    <definedName name="_xlnm.Print_Area" localSheetId="28">'SA10'!$A$1:$M$34</definedName>
    <definedName name="_xlnm.Print_Area" localSheetId="29">'SA11'!$A$1:$K$73</definedName>
    <definedName name="_xlnm.Print_Area" localSheetId="30">SA12a!$A$1:$R$110</definedName>
    <definedName name="_xlnm.Print_Area" localSheetId="31">SA12b!$A$1:$R$110</definedName>
    <definedName name="_xlnm.Print_Area" localSheetId="32">'SA13'!$A$1:$R$119</definedName>
    <definedName name="_xlnm.Print_Area" localSheetId="33">'SA14'!$A$1:$L$53</definedName>
    <definedName name="_xlnm.Print_Area" localSheetId="34">'SA15'!$A$1:$K$35</definedName>
    <definedName name="_xlnm.Print_Area" localSheetId="35">'SA16'!$A$1:$L$28</definedName>
    <definedName name="_xlnm.Print_Area" localSheetId="36">'SA17'!$A$1:$K$70</definedName>
    <definedName name="_xlnm.Print_Area" localSheetId="37">'SA18'!$A$1:$K$63</definedName>
    <definedName name="_xlnm.Print_Area" localSheetId="38">'SA19'!$A$1:$K$59</definedName>
    <definedName name="_xlnm.Print_Area" localSheetId="20">'SA2'!$A$1:$R$44</definedName>
    <definedName name="_xlnm.Print_Area" localSheetId="39">'SA20'!$A$1:$K$62</definedName>
    <definedName name="_xlnm.Print_Area" localSheetId="40">'SA21'!$A$1:$L$75</definedName>
    <definedName name="_xlnm.Print_Area" localSheetId="41">'SA22'!$A$1:$K$119</definedName>
    <definedName name="_xlnm.Print_Area" localSheetId="42">'SA23'!$A$1:$I$70</definedName>
    <definedName name="_xlnm.Print_Area" localSheetId="43">'SA24'!$A$1:$K$51</definedName>
    <definedName name="_xlnm.Print_Area" localSheetId="44">'SA25'!$A$1:$Q$48</definedName>
    <definedName name="_xlnm.Print_Area" localSheetId="45">'SA26'!$A$1:$Q$47</definedName>
    <definedName name="_xlnm.Print_Area" localSheetId="46">'SA27'!$A$1:$Q$55</definedName>
    <definedName name="_xlnm.Print_Area" localSheetId="47">'SA28'!$A$1:$Q$44</definedName>
    <definedName name="_xlnm.Print_Area" localSheetId="48">'SA29'!$A$1:$Q$28</definedName>
    <definedName name="_xlnm.Print_Area" localSheetId="21">'SA3'!$A$1:$L$75</definedName>
    <definedName name="_xlnm.Print_Area" localSheetId="49">'SA30'!$A$1:$P$56</definedName>
    <definedName name="_xlnm.Print_Area" localSheetId="50">'SA31'!$A$1:$K$42</definedName>
    <definedName name="_xlnm.Print_Area" localSheetId="51">'SA32'!$A$1:$F$27</definedName>
    <definedName name="_xlnm.Print_Area" localSheetId="52">'SA33'!$A$1:$O$47</definedName>
    <definedName name="_xlnm.Print_Area" localSheetId="53">SA34a!$A$1:$K$90</definedName>
    <definedName name="_xlnm.Print_Area" localSheetId="57">'SA35'!$A$1:$I$58</definedName>
    <definedName name="_xlnm.Print_Area" localSheetId="58">'SA36'!$A$1:$Q$41</definedName>
    <definedName name="_xlnm.Print_Area" localSheetId="59">'SA37'!$A$1:$M$27</definedName>
    <definedName name="_xlnm.Print_Area" localSheetId="22">'SA4'!$A$1:$M$21</definedName>
    <definedName name="_xlnm.Print_Area" localSheetId="23">'SA5'!$A$1:$M$25</definedName>
    <definedName name="_xlnm.Print_Area" localSheetId="24">'SA6'!$A$1:$M$24</definedName>
    <definedName name="_xlnm.Print_Area" localSheetId="25">'SA7'!$A$1:$K$89</definedName>
    <definedName name="_xlnm.Print_Area" localSheetId="26">'SA8'!$A$1:$L$38</definedName>
    <definedName name="_xlnm.Print_Area" localSheetId="27">'SA9'!$A$1:$L$68</definedName>
    <definedName name="_xlnm.Print_Area">#REF!</definedName>
    <definedName name="PRINT_AREA_MI">#REF!</definedName>
    <definedName name="_xlnm.Print_Titles" localSheetId="10">A3A!$1:$3</definedName>
    <definedName name="_xlnm.Print_Titles" localSheetId="9">'A3-FinPerf V'!$1:$3</definedName>
    <definedName name="_xlnm.Print_Titles" localSheetId="12">'A5-Capex'!$1:$3</definedName>
    <definedName name="_xlnm.Print_Titles">#N/A</definedName>
    <definedName name="proptax07">#REF!</definedName>
    <definedName name="ProvOpexGrantNames">'[1]Lookup and lists'!$S$2:$S$6</definedName>
    <definedName name="Rand000" localSheetId="31">#REF!</definedName>
    <definedName name="Rand000" localSheetId="32">#REF!</definedName>
    <definedName name="Rand000" localSheetId="56">#REF!</definedName>
    <definedName name="Rand000">#REF!</definedName>
    <definedName name="RandM">'Template names'!$B$70</definedName>
    <definedName name="REDHHGR06" localSheetId="31">#REF!</definedName>
    <definedName name="REDHHGR06" localSheetId="32">#REF!</definedName>
    <definedName name="REDHHGR06" localSheetId="56">#REF!</definedName>
    <definedName name="REDHHGR06">#REF!</definedName>
    <definedName name="redhhgr07" localSheetId="31">#REF!</definedName>
    <definedName name="redhhgr07" localSheetId="32">#REF!</definedName>
    <definedName name="redhhgr07" localSheetId="56">#REF!</definedName>
    <definedName name="redhhgr07">#REF!</definedName>
    <definedName name="redrev06" localSheetId="31">#REF!</definedName>
    <definedName name="redrev06" localSheetId="32">#REF!</definedName>
    <definedName name="redrev06" localSheetId="56">#REF!</definedName>
    <definedName name="redrev06">#REF!</definedName>
    <definedName name="redrev07" localSheetId="31">#REF!</definedName>
    <definedName name="redrev07" localSheetId="32">#REF!</definedName>
    <definedName name="redrev07" localSheetId="56">#REF!</definedName>
    <definedName name="redrev07">#REF!</definedName>
    <definedName name="Reds" localSheetId="31">#REF!</definedName>
    <definedName name="Reds" localSheetId="32">#REF!</definedName>
    <definedName name="Reds" localSheetId="56">#REF!</definedName>
    <definedName name="Reds">#REF!</definedName>
    <definedName name="renewyears">#REF!</definedName>
    <definedName name="Request0506" localSheetId="31">#REF!</definedName>
    <definedName name="Request0506" localSheetId="32">#REF!</definedName>
    <definedName name="Request0506" localSheetId="56">#REF!</definedName>
    <definedName name="Request0506">#REF!</definedName>
    <definedName name="resiprop">#REF!</definedName>
    <definedName name="result">'Template names'!$B$35</definedName>
    <definedName name="rmcRED06" localSheetId="31">#REF!</definedName>
    <definedName name="rmcRED06" localSheetId="32">#REF!</definedName>
    <definedName name="rmcRED06" localSheetId="56">#REF!</definedName>
    <definedName name="rmcRED06">#REF!</definedName>
    <definedName name="rmcred07" localSheetId="31">#REF!</definedName>
    <definedName name="rmcred07" localSheetId="32">#REF!</definedName>
    <definedName name="rmcred07" localSheetId="56">#REF!</definedName>
    <definedName name="rmcred07">#REF!</definedName>
    <definedName name="roundfactor" localSheetId="31">#REF!</definedName>
    <definedName name="roundfactor" localSheetId="32">#REF!</definedName>
    <definedName name="roundfactor" localSheetId="56">#REF!</definedName>
    <definedName name="roundfactor">#REF!</definedName>
    <definedName name="S71A" localSheetId="31">'Template names'!#REF!</definedName>
    <definedName name="S71A" localSheetId="32">'Template names'!#REF!</definedName>
    <definedName name="S71A" localSheetId="56">'Template names'!#REF!</definedName>
    <definedName name="S71A">'Template names'!#REF!</definedName>
    <definedName name="S71B" localSheetId="31">'Template names'!#REF!</definedName>
    <definedName name="S71B" localSheetId="32">'Template names'!#REF!</definedName>
    <definedName name="S71B" localSheetId="56">'Template names'!#REF!</definedName>
    <definedName name="S71B">'Template names'!#REF!</definedName>
    <definedName name="s71B8" localSheetId="31">'Template names'!#REF!</definedName>
    <definedName name="s71B8" localSheetId="32">'Template names'!#REF!</definedName>
    <definedName name="s71B8" localSheetId="56">'Template names'!#REF!</definedName>
    <definedName name="s71B8">'Template names'!#REF!</definedName>
    <definedName name="s71B9" localSheetId="31">'Template names'!#REF!</definedName>
    <definedName name="s71B9" localSheetId="32">'Template names'!#REF!</definedName>
    <definedName name="s71B9" localSheetId="56">'Template names'!#REF!</definedName>
    <definedName name="s71B9">'Template names'!#REF!</definedName>
    <definedName name="S71C" localSheetId="31">'Template names'!#REF!</definedName>
    <definedName name="S71C" localSheetId="32">'Template names'!#REF!</definedName>
    <definedName name="S71C" localSheetId="56">'Template names'!#REF!</definedName>
    <definedName name="S71C">'Template names'!#REF!</definedName>
    <definedName name="S71D" localSheetId="31">'Template names'!#REF!</definedName>
    <definedName name="S71D" localSheetId="32">'Template names'!#REF!</definedName>
    <definedName name="S71D" localSheetId="56">'Template names'!#REF!</definedName>
    <definedName name="S71D">'Template names'!#REF!</definedName>
    <definedName name="S71E" localSheetId="31">'Template names'!#REF!</definedName>
    <definedName name="S71E" localSheetId="32">'Template names'!#REF!</definedName>
    <definedName name="S71E" localSheetId="56">'Template names'!#REF!</definedName>
    <definedName name="S71E">'Template names'!#REF!</definedName>
    <definedName name="S71F" localSheetId="31">'Template names'!#REF!</definedName>
    <definedName name="S71F" localSheetId="32">'Template names'!#REF!</definedName>
    <definedName name="S71F" localSheetId="56">'Template names'!#REF!</definedName>
    <definedName name="S71F">'Template names'!#REF!</definedName>
    <definedName name="S71G" localSheetId="31">'Template names'!#REF!</definedName>
    <definedName name="S71G" localSheetId="32">'Template names'!#REF!</definedName>
    <definedName name="S71G" localSheetId="56">'Template names'!#REF!</definedName>
    <definedName name="S71G">'Template names'!#REF!</definedName>
    <definedName name="S71H" localSheetId="31">'Template names'!#REF!</definedName>
    <definedName name="S71H" localSheetId="32">'Template names'!#REF!</definedName>
    <definedName name="S71H" localSheetId="56">'Template names'!#REF!</definedName>
    <definedName name="S71H">'Template names'!#REF!</definedName>
    <definedName name="S71I" localSheetId="31">'Template names'!#REF!</definedName>
    <definedName name="S71I" localSheetId="32">'Template names'!#REF!</definedName>
    <definedName name="S71I" localSheetId="56">'Template names'!#REF!</definedName>
    <definedName name="S71I">'Template names'!#REF!</definedName>
    <definedName name="S71J" localSheetId="31">'Template names'!#REF!</definedName>
    <definedName name="S71J" localSheetId="32">'Template names'!#REF!</definedName>
    <definedName name="S71J" localSheetId="56">'Template names'!#REF!</definedName>
    <definedName name="S71J">'Template names'!#REF!</definedName>
    <definedName name="S71K" localSheetId="31">'Template names'!#REF!</definedName>
    <definedName name="S71K" localSheetId="32">'Template names'!#REF!</definedName>
    <definedName name="S71K" localSheetId="56">'Template names'!#REF!</definedName>
    <definedName name="S71K">'Template names'!#REF!</definedName>
    <definedName name="S71L" localSheetId="31">'Template names'!#REF!</definedName>
    <definedName name="S71L" localSheetId="32">'Template names'!#REF!</definedName>
    <definedName name="S71L" localSheetId="56">'Template names'!#REF!</definedName>
    <definedName name="S71L">'Template names'!#REF!</definedName>
    <definedName name="S71M" localSheetId="31">'Template names'!#REF!</definedName>
    <definedName name="S71M" localSheetId="32">'Template names'!#REF!</definedName>
    <definedName name="S71M" localSheetId="56">'Template names'!#REF!</definedName>
    <definedName name="S71M">'Template names'!#REF!</definedName>
    <definedName name="S71N" localSheetId="31">'Template names'!#REF!</definedName>
    <definedName name="S71N" localSheetId="32">'Template names'!#REF!</definedName>
    <definedName name="S71N" localSheetId="56">'Template names'!#REF!</definedName>
    <definedName name="S71N">'Template names'!#REF!</definedName>
    <definedName name="S71O" localSheetId="31">'Template names'!#REF!</definedName>
    <definedName name="S71O" localSheetId="32">'Template names'!#REF!</definedName>
    <definedName name="S71O" localSheetId="56">'Template names'!#REF!</definedName>
    <definedName name="S71O">'Template names'!#REF!</definedName>
    <definedName name="S71P" localSheetId="31">'Template names'!#REF!</definedName>
    <definedName name="S71P" localSheetId="32">'Template names'!#REF!</definedName>
    <definedName name="S71P" localSheetId="56">'Template names'!#REF!</definedName>
    <definedName name="S71P">'Template names'!#REF!</definedName>
    <definedName name="S71Q" localSheetId="31">'Template names'!#REF!</definedName>
    <definedName name="S71Q" localSheetId="32">'Template names'!#REF!</definedName>
    <definedName name="S71Q" localSheetId="56">'Template names'!#REF!</definedName>
    <definedName name="S71Q">'Template names'!#REF!</definedName>
    <definedName name="S71SDBIP" localSheetId="31">'Template names'!#REF!</definedName>
    <definedName name="S71SDBIP" localSheetId="32">'Template names'!#REF!</definedName>
    <definedName name="S71SDBIP" localSheetId="56">'Template names'!#REF!</definedName>
    <definedName name="S71SDBIP">'Template names'!#REF!</definedName>
    <definedName name="s71sum" localSheetId="31">'Template names'!#REF!</definedName>
    <definedName name="s71sum" localSheetId="32">'Template names'!#REF!</definedName>
    <definedName name="s71sum" localSheetId="56">'Template names'!#REF!</definedName>
    <definedName name="s71sum">'Template names'!#REF!</definedName>
    <definedName name="Scale">'Compliance assessment'!$L$77</definedName>
    <definedName name="scenario" localSheetId="31">#REF!</definedName>
    <definedName name="scenario" localSheetId="32">#REF!</definedName>
    <definedName name="scenario" localSheetId="56">#REF!</definedName>
    <definedName name="scenario">#REF!</definedName>
    <definedName name="Sch1a">'[4]Template names'!#REF!</definedName>
    <definedName name="Sch2N">'[4]Template names'!#REF!</definedName>
    <definedName name="Sch5N">'[4]Template names'!#REF!</definedName>
    <definedName name="Sch7N">'[4]Template names'!#REF!</definedName>
    <definedName name="SDBIP1" localSheetId="31">'Template names'!#REF!</definedName>
    <definedName name="SDBIP1" localSheetId="32">'Template names'!#REF!</definedName>
    <definedName name="SDBIP1" localSheetId="56">'Template names'!#REF!</definedName>
    <definedName name="SDBIP1">'Template names'!#REF!</definedName>
    <definedName name="SDBIP10" localSheetId="31">'Template names'!#REF!</definedName>
    <definedName name="SDBIP10" localSheetId="32">'Template names'!#REF!</definedName>
    <definedName name="SDBIP10" localSheetId="56">'Template names'!#REF!</definedName>
    <definedName name="SDBIP10">'Template names'!#REF!</definedName>
    <definedName name="SDBIP2" localSheetId="31">'Template names'!#REF!</definedName>
    <definedName name="SDBIP2" localSheetId="32">'Template names'!#REF!</definedName>
    <definedName name="SDBIP2" localSheetId="56">'Template names'!#REF!</definedName>
    <definedName name="SDBIP2">'Template names'!#REF!</definedName>
    <definedName name="SDBIP3" localSheetId="31">'Template names'!#REF!</definedName>
    <definedName name="SDBIP3" localSheetId="32">'Template names'!#REF!</definedName>
    <definedName name="SDBIP3" localSheetId="56">'Template names'!#REF!</definedName>
    <definedName name="SDBIP3">'Template names'!#REF!</definedName>
    <definedName name="SDBIP4" localSheetId="31">'Template names'!#REF!</definedName>
    <definedName name="SDBIP4" localSheetId="32">'Template names'!#REF!</definedName>
    <definedName name="SDBIP4" localSheetId="56">'Template names'!#REF!</definedName>
    <definedName name="SDBIP4">'Template names'!#REF!</definedName>
    <definedName name="SDBIP8" localSheetId="31">'Template names'!#REF!</definedName>
    <definedName name="SDBIP8" localSheetId="32">'Template names'!#REF!</definedName>
    <definedName name="SDBIP8" localSheetId="56">'Template names'!#REF!</definedName>
    <definedName name="SDBIP8">'Template names'!#REF!</definedName>
    <definedName name="sdcred06">#REF!</definedName>
    <definedName name="SFPerf1">'Template names'!$B$64</definedName>
    <definedName name="SFPerf2">'Template names'!$B$65</definedName>
    <definedName name="SFpos1">'Template names'!$B$66</definedName>
    <definedName name="SFpos2">'Template names'!$B$67</definedName>
    <definedName name="TabC19">'[4]Template names'!#REF!</definedName>
    <definedName name="TabC3" localSheetId="31">'Template names'!#REF!</definedName>
    <definedName name="TabC3" localSheetId="32">'Template names'!#REF!</definedName>
    <definedName name="TabC3" localSheetId="56">'Template names'!#REF!</definedName>
    <definedName name="TabC3">'Template names'!#REF!</definedName>
    <definedName name="TabC4" localSheetId="31">'Template names'!#REF!</definedName>
    <definedName name="TabC4" localSheetId="32">'Template names'!#REF!</definedName>
    <definedName name="TabC4" localSheetId="56">'Template names'!#REF!</definedName>
    <definedName name="TabC4">'Template names'!#REF!</definedName>
    <definedName name="TabC5" localSheetId="31">'Template names'!#REF!</definedName>
    <definedName name="TabC5" localSheetId="32">'Template names'!#REF!</definedName>
    <definedName name="TabC5" localSheetId="56">'Template names'!#REF!</definedName>
    <definedName name="TabC5">'Template names'!#REF!</definedName>
    <definedName name="TabC6" localSheetId="31">'Template names'!#REF!</definedName>
    <definedName name="TabC6" localSheetId="32">'Template names'!#REF!</definedName>
    <definedName name="TabC6" localSheetId="56">'Template names'!#REF!</definedName>
    <definedName name="TabC6">'Template names'!#REF!</definedName>
    <definedName name="Tabc7" localSheetId="31">'Template names'!#REF!</definedName>
    <definedName name="Tabc7" localSheetId="32">'Template names'!#REF!</definedName>
    <definedName name="Tabc7" localSheetId="56">'Template names'!#REF!</definedName>
    <definedName name="Tabc7">'Template names'!#REF!</definedName>
    <definedName name="Tabc8" localSheetId="31">'Template names'!#REF!</definedName>
    <definedName name="Tabc8" localSheetId="32">'Template names'!#REF!</definedName>
    <definedName name="Tabc8" localSheetId="56">'Template names'!#REF!</definedName>
    <definedName name="Tabc8">'Template names'!#REF!</definedName>
    <definedName name="Tabc9" localSheetId="31">'Template names'!#REF!</definedName>
    <definedName name="Tabc9" localSheetId="32">'Template names'!#REF!</definedName>
    <definedName name="Tabc9" localSheetId="56">'Template names'!#REF!</definedName>
    <definedName name="Tabc9">'Template names'!#REF!</definedName>
    <definedName name="Tablc8" localSheetId="31">'Template names'!#REF!</definedName>
    <definedName name="Tablc8" localSheetId="32">'Template names'!#REF!</definedName>
    <definedName name="Tablc8" localSheetId="56">'Template names'!#REF!</definedName>
    <definedName name="Tablc8">'Template names'!#REF!</definedName>
    <definedName name="Table1">'[4]Template names'!#REF!</definedName>
    <definedName name="Table10">'[4]Template names'!#REF!</definedName>
    <definedName name="Table11">'[4]Template names'!#REF!</definedName>
    <definedName name="Table12">'[4]Template names'!#REF!</definedName>
    <definedName name="Table13">'[4]Template names'!#REF!</definedName>
    <definedName name="Table14">'[4]Template names'!#REF!</definedName>
    <definedName name="Table14A">'[4]Template names'!#REF!</definedName>
    <definedName name="Table14B">'[4]Template names'!#REF!</definedName>
    <definedName name="Table15">'[4]Template names'!#REF!</definedName>
    <definedName name="Table15A">'[4]Template names'!#REF!</definedName>
    <definedName name="Table15New">'[4]Template names'!#REF!</definedName>
    <definedName name="Table16">'[4]Template names'!#REF!</definedName>
    <definedName name="Table17">'[4]Template names'!#REF!</definedName>
    <definedName name="Table18">'[4]Template names'!#REF!</definedName>
    <definedName name="Table19">'[4]Template names'!#REF!</definedName>
    <definedName name="Table2">'[4]Template names'!#REF!</definedName>
    <definedName name="Table20">'[4]Template names'!#REF!</definedName>
    <definedName name="Table21">'[4]Template names'!#REF!</definedName>
    <definedName name="Table22">'[4]Template names'!#REF!</definedName>
    <definedName name="Table23">'[4]Template names'!#REF!</definedName>
    <definedName name="Table24">'[4]Template names'!#REF!</definedName>
    <definedName name="Table24A">'[4]Template names'!#REF!</definedName>
    <definedName name="Table25">'[4]Template names'!#REF!</definedName>
    <definedName name="Table26">'[4]Template names'!#REF!</definedName>
    <definedName name="Table27">'[4]Template names'!#REF!</definedName>
    <definedName name="Table28">'[4]Template names'!#REF!</definedName>
    <definedName name="Table29">'[4]Template names'!#REF!</definedName>
    <definedName name="Table3">'[4]Template names'!#REF!</definedName>
    <definedName name="Table30">'[4]Template names'!#REF!</definedName>
    <definedName name="Table31">'[4]Template names'!#REF!</definedName>
    <definedName name="Table32">'[4]Template names'!#REF!</definedName>
    <definedName name="Table33">'[4]Template names'!#REF!</definedName>
    <definedName name="Table4">'[4]Template names'!#REF!</definedName>
    <definedName name="Table5">'[4]Template names'!#REF!</definedName>
    <definedName name="Table6">'[4]Template names'!#REF!</definedName>
    <definedName name="Table7">'[4]Template names'!#REF!</definedName>
    <definedName name="Table8">'[4]Template names'!#REF!</definedName>
    <definedName name="Table9">'[4]Template names'!#REF!</definedName>
    <definedName name="TableA1">'Template names'!$B$111</definedName>
    <definedName name="TableA10">'Template names'!$B$120</definedName>
    <definedName name="TableA11">'Template names'!$B$121</definedName>
    <definedName name="TableA12">'[7]Template names'!$B$122</definedName>
    <definedName name="TableA12a">'Template names'!$B$122</definedName>
    <definedName name="TableA12b">'Template names'!$B$123</definedName>
    <definedName name="TableA13">'Template names'!$B$124</definedName>
    <definedName name="TableA14">'Template names'!$B$125</definedName>
    <definedName name="TableA15">'Template names'!$B$126</definedName>
    <definedName name="TableA16">'Template names'!$B$127</definedName>
    <definedName name="TableA17">'Template names'!$B$128</definedName>
    <definedName name="TableA18">'Template names'!$B$129</definedName>
    <definedName name="TableA19">'Template names'!$B$130</definedName>
    <definedName name="TableA2">'Template names'!$B$112</definedName>
    <definedName name="TableA20">'Template names'!$B$131</definedName>
    <definedName name="TableA21">'Template names'!$B$132</definedName>
    <definedName name="TableA22">'Template names'!$B$133</definedName>
    <definedName name="TableA23">'Template names'!$B$134</definedName>
    <definedName name="TableA24">'Template names'!$B$135</definedName>
    <definedName name="TableA25">'Template names'!$B$136</definedName>
    <definedName name="TableA26">'Template names'!$B$137</definedName>
    <definedName name="TableA27">'Template names'!$B$138</definedName>
    <definedName name="TableA28">'Template names'!$B$139</definedName>
    <definedName name="TableA29">'Template names'!$B$140</definedName>
    <definedName name="TableA3">'Template names'!$B$113</definedName>
    <definedName name="TableA30">'Template names'!$B$141</definedName>
    <definedName name="TableA31">'Template names'!$B$142</definedName>
    <definedName name="TableA32">'Template names'!$B$143</definedName>
    <definedName name="TableA33">'Template names'!$B$144</definedName>
    <definedName name="TableA34a">'Template names'!$B$145</definedName>
    <definedName name="TableA34b">'Template names'!$B$146</definedName>
    <definedName name="TableA34c">'Template names'!$B$147</definedName>
    <definedName name="TableA34d">'Template names'!$B$148</definedName>
    <definedName name="TableA35">'Template names'!$B$149</definedName>
    <definedName name="TableA36">'Template names'!$B$150</definedName>
    <definedName name="TableA37">'Template names'!$B$151</definedName>
    <definedName name="TableA4">'Template names'!$B$114</definedName>
    <definedName name="TableA5">'Template names'!$B$115</definedName>
    <definedName name="TableA6">'Template names'!$B$116</definedName>
    <definedName name="TableA7">'Template names'!$B$117</definedName>
    <definedName name="TableA8">'Template names'!$B$118</definedName>
    <definedName name="TableA9">'Template names'!$B$119</definedName>
    <definedName name="TableD7" localSheetId="31">'Template names'!#REF!</definedName>
    <definedName name="TableD7" localSheetId="32">'Template names'!#REF!</definedName>
    <definedName name="TableD7" localSheetId="56">'Template names'!#REF!</definedName>
    <definedName name="TableD7">'Template names'!#REF!</definedName>
    <definedName name="TableD8" localSheetId="31">'Template names'!#REF!</definedName>
    <definedName name="TableD8" localSheetId="32">'Template names'!#REF!</definedName>
    <definedName name="TableD8" localSheetId="56">'Template names'!#REF!</definedName>
    <definedName name="TableD8">'Template names'!#REF!</definedName>
    <definedName name="TableE4" localSheetId="31">'Template names'!#REF!</definedName>
    <definedName name="TableE4" localSheetId="32">'Template names'!#REF!</definedName>
    <definedName name="TableE4" localSheetId="56">'Template names'!#REF!</definedName>
    <definedName name="TableE4">'Template names'!#REF!</definedName>
    <definedName name="TableE7" localSheetId="31">'Template names'!#REF!</definedName>
    <definedName name="TableE7" localSheetId="32">'Template names'!#REF!</definedName>
    <definedName name="TableE7" localSheetId="56">'Template names'!#REF!</definedName>
    <definedName name="TableE7">'Template names'!#REF!</definedName>
    <definedName name="TableE9" localSheetId="31">'Template names'!#REF!</definedName>
    <definedName name="TableE9" localSheetId="32">'Template names'!#REF!</definedName>
    <definedName name="TableE9" localSheetId="56">'Template names'!#REF!</definedName>
    <definedName name="TableE9">'Template names'!#REF!</definedName>
    <definedName name="TableF6" localSheetId="31">'Template names'!#REF!</definedName>
    <definedName name="TableF6" localSheetId="32">'Template names'!#REF!</definedName>
    <definedName name="TableF6" localSheetId="56">'Template names'!#REF!</definedName>
    <definedName name="TableF6">'Template names'!#REF!</definedName>
    <definedName name="tariffdisc05" localSheetId="31">#REF!</definedName>
    <definedName name="tariffdisc05" localSheetId="32">#REF!</definedName>
    <definedName name="tariffdisc05" localSheetId="56">#REF!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'Template names'!$B$32</definedName>
    <definedName name="Velddrif">#REF!</definedName>
    <definedName name="Vote">'Org structure'!$A$2:$A$16</definedName>
    <definedName name="Vote1">'Org structure'!$D$3:$D$12</definedName>
    <definedName name="Vote10">'Org structure'!$D$102:$D$111</definedName>
    <definedName name="Vote11">'Org structure'!$D$113:$D$122</definedName>
    <definedName name="Vote12">'Org structure'!$D$124:$D$133</definedName>
    <definedName name="Vote13">'Org structure'!$D$135:$D$144</definedName>
    <definedName name="Vote14">'Org structure'!$D$146:$D$155</definedName>
    <definedName name="Vote15">'Org structure'!$D$157:$D$166</definedName>
    <definedName name="Vote2">'Org structure'!$D$14:$D$23</definedName>
    <definedName name="Vote3">'Org structure'!$D$25:$D$34</definedName>
    <definedName name="Vote4">'Org structure'!$D$36:$D$45</definedName>
    <definedName name="Vote5">'Org structure'!$D$47:$D$56</definedName>
    <definedName name="Vote6">'Org structure'!$D$58:$D$67</definedName>
    <definedName name="Vote7">'Org structure'!$D$69:$D$78</definedName>
    <definedName name="Vote8">'Org structure'!$D$80:$D$89</definedName>
    <definedName name="Vote9">'Org structure'!$D$91:$D$100</definedName>
    <definedName name="yrend">[5]Data!$B$3</definedName>
  </definedNames>
  <calcPr calcId="145621" calcMode="manual"/>
  <fileRecoveryPr autoRecover="0"/>
</workbook>
</file>

<file path=xl/calcChain.xml><?xml version="1.0" encoding="utf-8"?>
<calcChain xmlns="http://schemas.openxmlformats.org/spreadsheetml/2006/main">
  <c r="G26" i="253" l="1"/>
  <c r="L55" i="237" l="1"/>
  <c r="K55" i="237"/>
  <c r="J55" i="237"/>
  <c r="I55" i="237"/>
  <c r="H55" i="237"/>
  <c r="G55" i="237"/>
  <c r="F55" i="237"/>
  <c r="E55" i="237"/>
  <c r="D55" i="237"/>
  <c r="C55" i="237"/>
  <c r="D10" i="338" l="1"/>
  <c r="E10" i="348"/>
  <c r="J10" i="348"/>
  <c r="L10" i="348"/>
  <c r="E11" i="348"/>
  <c r="J11" i="348"/>
  <c r="L11" i="348"/>
  <c r="E12" i="348"/>
  <c r="J12" i="348"/>
  <c r="L12" i="348"/>
  <c r="E13" i="348"/>
  <c r="J13" i="348"/>
  <c r="L13" i="348"/>
  <c r="E14" i="348"/>
  <c r="J14" i="348"/>
  <c r="L14" i="348"/>
  <c r="E15" i="348"/>
  <c r="J15" i="348"/>
  <c r="L15" i="348"/>
  <c r="E16" i="348"/>
  <c r="J16" i="348"/>
  <c r="L16" i="348"/>
  <c r="E17" i="348"/>
  <c r="J17" i="348"/>
  <c r="L17" i="348"/>
  <c r="E18" i="348"/>
  <c r="J18" i="348"/>
  <c r="L18" i="348"/>
  <c r="E19" i="348"/>
  <c r="J19" i="348"/>
  <c r="L19" i="348"/>
  <c r="I20" i="348"/>
  <c r="E21" i="348"/>
  <c r="J21" i="348"/>
  <c r="L21" i="348"/>
  <c r="E22" i="348"/>
  <c r="J22" i="348"/>
  <c r="L22" i="348"/>
  <c r="E23" i="348"/>
  <c r="J23" i="348"/>
  <c r="L23" i="348"/>
  <c r="E24" i="348"/>
  <c r="J24" i="348"/>
  <c r="L24" i="348"/>
  <c r="E25" i="348"/>
  <c r="J25" i="348"/>
  <c r="L25" i="348"/>
  <c r="E26" i="348"/>
  <c r="J26" i="348"/>
  <c r="L26" i="348"/>
  <c r="E27" i="348"/>
  <c r="J27" i="348"/>
  <c r="L27" i="348"/>
  <c r="E28" i="348"/>
  <c r="J28" i="348"/>
  <c r="L28" i="348"/>
  <c r="E29" i="348"/>
  <c r="J29" i="348"/>
  <c r="L29" i="348"/>
  <c r="E30" i="348"/>
  <c r="J30" i="348"/>
  <c r="L30" i="348"/>
  <c r="E31" i="348"/>
  <c r="J31" i="348"/>
  <c r="L31" i="348"/>
  <c r="E32" i="348"/>
  <c r="J32" i="348"/>
  <c r="L32" i="348"/>
  <c r="E33" i="348"/>
  <c r="J33" i="348"/>
  <c r="L33" i="348"/>
  <c r="E34" i="348"/>
  <c r="J34" i="348"/>
  <c r="L34" i="348"/>
  <c r="E35" i="348"/>
  <c r="J35" i="348"/>
  <c r="L35" i="348"/>
  <c r="E37" i="348"/>
  <c r="J37" i="348"/>
  <c r="L37" i="348"/>
  <c r="E38" i="348"/>
  <c r="J38" i="348"/>
  <c r="L38" i="348"/>
  <c r="E39" i="348"/>
  <c r="J39" i="348"/>
  <c r="L39" i="348"/>
  <c r="E40" i="348"/>
  <c r="J40" i="348"/>
  <c r="L40" i="348"/>
  <c r="E41" i="348"/>
  <c r="J41" i="348"/>
  <c r="L41" i="348"/>
  <c r="E42" i="348"/>
  <c r="J42" i="348"/>
  <c r="L42" i="348"/>
  <c r="E43" i="348"/>
  <c r="J43" i="348"/>
  <c r="L43" i="348"/>
  <c r="E44" i="348"/>
  <c r="J44" i="348"/>
  <c r="L44" i="348"/>
  <c r="E45" i="348"/>
  <c r="J45" i="348"/>
  <c r="L45" i="348"/>
  <c r="E46" i="348"/>
  <c r="J46" i="348"/>
  <c r="L46" i="348"/>
  <c r="E47" i="348"/>
  <c r="J47" i="348"/>
  <c r="L47" i="348"/>
  <c r="E48" i="348"/>
  <c r="J48" i="348"/>
  <c r="L48" i="348"/>
  <c r="E49" i="348"/>
  <c r="J49" i="348"/>
  <c r="L49" i="348"/>
  <c r="E50" i="348"/>
  <c r="J50" i="348"/>
  <c r="L50" i="348"/>
  <c r="E51" i="348"/>
  <c r="J51" i="348"/>
  <c r="L51" i="348"/>
  <c r="E52" i="348"/>
  <c r="J52" i="348"/>
  <c r="L52" i="348"/>
  <c r="E53" i="348"/>
  <c r="J53" i="348"/>
  <c r="L53" i="348"/>
  <c r="I54" i="348"/>
  <c r="E56" i="348"/>
  <c r="J56" i="348"/>
  <c r="L56" i="348"/>
  <c r="E57" i="348"/>
  <c r="J57" i="348"/>
  <c r="L57" i="348"/>
  <c r="E58" i="348"/>
  <c r="J58" i="348"/>
  <c r="L58" i="348"/>
  <c r="E59" i="348"/>
  <c r="J59" i="348"/>
  <c r="L59" i="348"/>
  <c r="E60" i="348"/>
  <c r="J60" i="348"/>
  <c r="L60" i="348"/>
  <c r="E61" i="348"/>
  <c r="J61" i="348"/>
  <c r="L61" i="348"/>
  <c r="E62" i="348"/>
  <c r="J62" i="348"/>
  <c r="L62" i="348"/>
  <c r="E63" i="348"/>
  <c r="J63" i="348"/>
  <c r="L63" i="348"/>
  <c r="E64" i="348"/>
  <c r="J64" i="348"/>
  <c r="L64" i="348"/>
  <c r="E65" i="348"/>
  <c r="J65" i="348"/>
  <c r="L65" i="348"/>
  <c r="E66" i="348"/>
  <c r="J66" i="348"/>
  <c r="L66" i="348"/>
  <c r="E67" i="348"/>
  <c r="J67" i="348"/>
  <c r="L67" i="348"/>
  <c r="E68" i="348"/>
  <c r="J68" i="348"/>
  <c r="L68" i="348"/>
  <c r="E69" i="348"/>
  <c r="J69" i="348"/>
  <c r="L69" i="348"/>
  <c r="E70" i="348"/>
  <c r="J70" i="348"/>
  <c r="L70" i="348"/>
  <c r="E71" i="348"/>
  <c r="J71" i="348"/>
  <c r="L71" i="348"/>
  <c r="E72" i="348"/>
  <c r="J72" i="348"/>
  <c r="L72" i="348"/>
  <c r="E73" i="348"/>
  <c r="J73" i="348"/>
  <c r="L73" i="348"/>
  <c r="E74" i="348"/>
  <c r="J74" i="348"/>
  <c r="L74" i="348"/>
  <c r="E75" i="348"/>
  <c r="J75" i="348"/>
  <c r="L75" i="348"/>
  <c r="L76" i="348" s="1"/>
  <c r="I76" i="348"/>
  <c r="I77" i="348"/>
  <c r="B2" i="339"/>
  <c r="D2" i="339"/>
  <c r="D3" i="339"/>
  <c r="E3" i="339"/>
  <c r="A4" i="339"/>
  <c r="B4" i="339"/>
  <c r="D4" i="339"/>
  <c r="E4" i="339"/>
  <c r="F4" i="339"/>
  <c r="G4" i="339"/>
  <c r="H4" i="339"/>
  <c r="A5" i="339"/>
  <c r="B5" i="339"/>
  <c r="E5" i="339"/>
  <c r="F5" i="339"/>
  <c r="G5" i="339"/>
  <c r="A6" i="339"/>
  <c r="B6" i="339"/>
  <c r="E6" i="339"/>
  <c r="F6" i="339"/>
  <c r="G6" i="339"/>
  <c r="A7" i="339"/>
  <c r="B7" i="339"/>
  <c r="E7" i="339"/>
  <c r="F7" i="339"/>
  <c r="G7" i="339"/>
  <c r="A8" i="339"/>
  <c r="B8" i="339"/>
  <c r="E8" i="339"/>
  <c r="F8" i="339"/>
  <c r="G8" i="339"/>
  <c r="A9" i="339"/>
  <c r="B9" i="339"/>
  <c r="C9" i="339"/>
  <c r="E9" i="339"/>
  <c r="F9" i="339"/>
  <c r="G9" i="339"/>
  <c r="A10" i="339"/>
  <c r="C10" i="339"/>
  <c r="E10" i="339"/>
  <c r="F10" i="339"/>
  <c r="G10" i="339"/>
  <c r="A11" i="339"/>
  <c r="B11" i="339"/>
  <c r="E11" i="339"/>
  <c r="F11" i="339"/>
  <c r="G11" i="339"/>
  <c r="A12" i="339"/>
  <c r="B12" i="339"/>
  <c r="E12" i="339"/>
  <c r="F12" i="339"/>
  <c r="G12" i="339"/>
  <c r="A13" i="339"/>
  <c r="B13" i="339"/>
  <c r="D13" i="339"/>
  <c r="F13" i="339"/>
  <c r="G13" i="339"/>
  <c r="A14" i="339"/>
  <c r="B14" i="339"/>
  <c r="D14" i="339"/>
  <c r="F14" i="339"/>
  <c r="G14" i="339"/>
  <c r="A15" i="339"/>
  <c r="B15" i="339"/>
  <c r="D15" i="339"/>
  <c r="F15" i="339"/>
  <c r="G15" i="339"/>
  <c r="A16" i="339"/>
  <c r="B16" i="339"/>
  <c r="D16" i="339"/>
  <c r="E16" i="339"/>
  <c r="F16" i="339"/>
  <c r="G16" i="339"/>
  <c r="A17" i="339"/>
  <c r="B17" i="339"/>
  <c r="E17" i="339"/>
  <c r="F17" i="339"/>
  <c r="G17" i="339"/>
  <c r="A18" i="339"/>
  <c r="B18" i="339"/>
  <c r="D18" i="339"/>
  <c r="F18" i="339"/>
  <c r="B19" i="339"/>
  <c r="D19" i="339"/>
  <c r="E19" i="339"/>
  <c r="F19" i="339"/>
  <c r="G19" i="339"/>
  <c r="B20" i="339"/>
  <c r="C20" i="339"/>
  <c r="E20" i="339"/>
  <c r="F20" i="339"/>
  <c r="G20" i="339"/>
  <c r="C21" i="339"/>
  <c r="D21" i="339"/>
  <c r="F21" i="339"/>
  <c r="C22" i="339"/>
  <c r="D22" i="339"/>
  <c r="E22" i="339"/>
  <c r="F22" i="339"/>
  <c r="G22" i="339"/>
  <c r="B23" i="339"/>
  <c r="E23" i="339"/>
  <c r="F23" i="339"/>
  <c r="G23" i="339"/>
  <c r="B24" i="339"/>
  <c r="E24" i="339"/>
  <c r="F24" i="339"/>
  <c r="G24" i="339"/>
  <c r="B25" i="339"/>
  <c r="E25" i="339"/>
  <c r="F25" i="339"/>
  <c r="G25" i="339"/>
  <c r="B26" i="339"/>
  <c r="D26" i="339"/>
  <c r="F26" i="339"/>
  <c r="G26" i="339"/>
  <c r="B27" i="339"/>
  <c r="D27" i="339"/>
  <c r="E27" i="339"/>
  <c r="F27" i="339"/>
  <c r="G27" i="339"/>
  <c r="B28" i="339"/>
  <c r="E28" i="339"/>
  <c r="F28" i="339"/>
  <c r="G28" i="339"/>
  <c r="E29" i="339"/>
  <c r="F29" i="339"/>
  <c r="G29" i="339"/>
  <c r="E30" i="339"/>
  <c r="F30" i="339"/>
  <c r="G30" i="339"/>
  <c r="E31" i="339"/>
  <c r="F31" i="339"/>
  <c r="G31" i="339"/>
  <c r="D32" i="339"/>
  <c r="F32" i="339"/>
  <c r="G32" i="339"/>
  <c r="F33" i="339"/>
  <c r="G33" i="339"/>
  <c r="F34" i="339"/>
  <c r="F35" i="339"/>
  <c r="F36" i="339"/>
  <c r="F37" i="339"/>
  <c r="A3" i="338"/>
  <c r="B3" i="338"/>
  <c r="D4" i="338"/>
  <c r="E4" i="338"/>
  <c r="F4" i="338"/>
  <c r="G4" i="338"/>
  <c r="H4" i="338"/>
  <c r="I4" i="338"/>
  <c r="A9" i="338"/>
  <c r="E10" i="338"/>
  <c r="F10" i="338"/>
  <c r="G10" i="338"/>
  <c r="H10" i="338"/>
  <c r="I10" i="338"/>
  <c r="J10" i="338"/>
  <c r="K10" i="338"/>
  <c r="L10" i="338"/>
  <c r="M10" i="338"/>
  <c r="D12" i="338"/>
  <c r="E12" i="338"/>
  <c r="F12" i="338"/>
  <c r="G12" i="338"/>
  <c r="H12" i="338"/>
  <c r="I12" i="338"/>
  <c r="J12" i="338"/>
  <c r="K12" i="338"/>
  <c r="L12" i="338"/>
  <c r="M12" i="338"/>
  <c r="D18" i="338"/>
  <c r="E18" i="338"/>
  <c r="F18" i="338"/>
  <c r="G18" i="338"/>
  <c r="H18" i="338"/>
  <c r="I18" i="338"/>
  <c r="J18" i="338"/>
  <c r="K18" i="338"/>
  <c r="L18" i="338"/>
  <c r="M18" i="338"/>
  <c r="D19" i="338"/>
  <c r="D17" i="338" s="1"/>
  <c r="E19" i="338"/>
  <c r="E17" i="338" s="1"/>
  <c r="F19" i="338"/>
  <c r="G19" i="338"/>
  <c r="H19" i="338"/>
  <c r="H17" i="338" s="1"/>
  <c r="I19" i="338"/>
  <c r="I17" i="338" s="1"/>
  <c r="J19" i="338"/>
  <c r="K19" i="338"/>
  <c r="L19" i="338"/>
  <c r="L17" i="338" s="1"/>
  <c r="M19" i="338"/>
  <c r="M17" i="338" s="1"/>
  <c r="D22" i="338"/>
  <c r="E22" i="338"/>
  <c r="F22" i="338"/>
  <c r="G22" i="338"/>
  <c r="H22" i="338"/>
  <c r="I22" i="338"/>
  <c r="J22" i="338"/>
  <c r="K22" i="338"/>
  <c r="L22" i="338"/>
  <c r="M22" i="338"/>
  <c r="D24" i="338"/>
  <c r="E24" i="338"/>
  <c r="F24" i="338"/>
  <c r="G24" i="338"/>
  <c r="H24" i="338"/>
  <c r="I24" i="338"/>
  <c r="J24" i="338"/>
  <c r="K24" i="338"/>
  <c r="L24" i="338"/>
  <c r="M24" i="338"/>
  <c r="D25" i="338"/>
  <c r="E25" i="338"/>
  <c r="F25" i="338"/>
  <c r="G25" i="338"/>
  <c r="H25" i="338"/>
  <c r="I25" i="338"/>
  <c r="J25" i="338"/>
  <c r="K25" i="338"/>
  <c r="L25" i="338"/>
  <c r="M25" i="338"/>
  <c r="D29" i="338"/>
  <c r="D27" i="338" s="1"/>
  <c r="E29" i="338"/>
  <c r="E27" i="338" s="1"/>
  <c r="F29" i="338"/>
  <c r="F27" i="338" s="1"/>
  <c r="G29" i="338"/>
  <c r="G27" i="338" s="1"/>
  <c r="H29" i="338"/>
  <c r="H27" i="338" s="1"/>
  <c r="I29" i="338"/>
  <c r="I27" i="338" s="1"/>
  <c r="J29" i="338"/>
  <c r="J27" i="338" s="1"/>
  <c r="K29" i="338"/>
  <c r="K27" i="338" s="1"/>
  <c r="L29" i="338"/>
  <c r="L27" i="338" s="1"/>
  <c r="M29" i="338"/>
  <c r="M27" i="338" s="1"/>
  <c r="A38" i="338"/>
  <c r="A40" i="338"/>
  <c r="D41" i="338"/>
  <c r="E41" i="338"/>
  <c r="F41" i="338"/>
  <c r="G41" i="338"/>
  <c r="H41" i="338"/>
  <c r="I41" i="338"/>
  <c r="J41" i="338"/>
  <c r="K41" i="338"/>
  <c r="L41" i="338"/>
  <c r="M41" i="338"/>
  <c r="A42" i="338"/>
  <c r="D44" i="338"/>
  <c r="D43" i="338" s="1"/>
  <c r="E44" i="338"/>
  <c r="E43" i="338" s="1"/>
  <c r="F44" i="338"/>
  <c r="F43" i="338" s="1"/>
  <c r="G44" i="338"/>
  <c r="G43" i="338" s="1"/>
  <c r="H44" i="338"/>
  <c r="H43" i="338" s="1"/>
  <c r="I44" i="338"/>
  <c r="I43" i="338" s="1"/>
  <c r="J44" i="338"/>
  <c r="J43" i="338" s="1"/>
  <c r="K44" i="338"/>
  <c r="K43" i="338" s="1"/>
  <c r="L44" i="338"/>
  <c r="L43" i="338" s="1"/>
  <c r="M44" i="338"/>
  <c r="M43" i="338" s="1"/>
  <c r="A47" i="338"/>
  <c r="G50" i="338"/>
  <c r="H50" i="338"/>
  <c r="I50" i="338"/>
  <c r="J50" i="338"/>
  <c r="A51" i="338"/>
  <c r="D55" i="338"/>
  <c r="E55" i="338"/>
  <c r="F55" i="338"/>
  <c r="G55" i="338"/>
  <c r="H55" i="338"/>
  <c r="I55" i="338"/>
  <c r="J55" i="338"/>
  <c r="K55" i="338"/>
  <c r="L55" i="338"/>
  <c r="M55" i="338"/>
  <c r="D57" i="338"/>
  <c r="E57" i="338"/>
  <c r="F57" i="338"/>
  <c r="G57" i="338"/>
  <c r="H57" i="338"/>
  <c r="I57" i="338"/>
  <c r="J57" i="338"/>
  <c r="K57" i="338"/>
  <c r="L57" i="338"/>
  <c r="M57" i="338"/>
  <c r="A61" i="338"/>
  <c r="D61" i="338"/>
  <c r="E61" i="338"/>
  <c r="F61" i="338"/>
  <c r="G61" i="338"/>
  <c r="I61" i="338"/>
  <c r="J61" i="338"/>
  <c r="K61" i="338"/>
  <c r="L61" i="338"/>
  <c r="M61" i="338"/>
  <c r="D62" i="338"/>
  <c r="E62" i="338"/>
  <c r="F62" i="338"/>
  <c r="G62" i="338"/>
  <c r="H62" i="338"/>
  <c r="I62" i="338"/>
  <c r="J62" i="338"/>
  <c r="K62" i="338"/>
  <c r="L62" i="338"/>
  <c r="M62" i="338"/>
  <c r="D63" i="338"/>
  <c r="E63" i="338"/>
  <c r="F63" i="338"/>
  <c r="G63" i="338"/>
  <c r="H63" i="338"/>
  <c r="I63" i="338"/>
  <c r="J63" i="338"/>
  <c r="K63" i="338"/>
  <c r="L63" i="338"/>
  <c r="M63" i="338"/>
  <c r="D64" i="338"/>
  <c r="E64" i="338"/>
  <c r="F64" i="338"/>
  <c r="G64" i="338"/>
  <c r="H64" i="338"/>
  <c r="I64" i="338"/>
  <c r="J64" i="338"/>
  <c r="K64" i="338"/>
  <c r="L64" i="338"/>
  <c r="M64" i="338"/>
  <c r="A65" i="338"/>
  <c r="D65" i="338"/>
  <c r="E65" i="338"/>
  <c r="F65" i="338"/>
  <c r="G65" i="338"/>
  <c r="H65" i="338"/>
  <c r="I65" i="338"/>
  <c r="J65" i="338"/>
  <c r="K65" i="338"/>
  <c r="L65" i="338"/>
  <c r="M65" i="338"/>
  <c r="A66" i="338"/>
  <c r="A73" i="338"/>
  <c r="D73" i="338"/>
  <c r="E73" i="338"/>
  <c r="C73" i="338" s="1"/>
  <c r="D74" i="338" s="1"/>
  <c r="F73" i="338"/>
  <c r="G73" i="338"/>
  <c r="H73" i="338"/>
  <c r="I73" i="338"/>
  <c r="I74" i="338" s="1"/>
  <c r="I26" i="338" s="1"/>
  <c r="I23" i="338" s="1"/>
  <c r="J73" i="338"/>
  <c r="K73" i="338"/>
  <c r="L73" i="338"/>
  <c r="M73" i="338"/>
  <c r="H2" i="296"/>
  <c r="I3" i="296"/>
  <c r="J3" i="296"/>
  <c r="A24" i="296"/>
  <c r="A2" i="294"/>
  <c r="B2" i="294"/>
  <c r="I3" i="294"/>
  <c r="F21" i="294"/>
  <c r="G21" i="294"/>
  <c r="H21" i="294"/>
  <c r="I21" i="294"/>
  <c r="C40" i="294"/>
  <c r="D40" i="294"/>
  <c r="E40" i="294"/>
  <c r="F40" i="294"/>
  <c r="G40" i="294"/>
  <c r="H40" i="294"/>
  <c r="I40" i="294"/>
  <c r="A43" i="294"/>
  <c r="A44" i="294"/>
  <c r="A45" i="294"/>
  <c r="A46" i="294"/>
  <c r="A47" i="294"/>
  <c r="A48" i="294"/>
  <c r="A49" i="294"/>
  <c r="A50" i="294"/>
  <c r="C53" i="294"/>
  <c r="D53" i="294"/>
  <c r="E53" i="294"/>
  <c r="F53" i="294"/>
  <c r="G53" i="294"/>
  <c r="H53" i="294"/>
  <c r="I53" i="294"/>
  <c r="A55" i="294"/>
  <c r="A2" i="139"/>
  <c r="B2" i="139"/>
  <c r="D3" i="139"/>
  <c r="O6" i="139"/>
  <c r="O7" i="139"/>
  <c r="O8" i="139"/>
  <c r="C9" i="139"/>
  <c r="D9" i="139"/>
  <c r="E9" i="139"/>
  <c r="F9" i="139"/>
  <c r="G9" i="139"/>
  <c r="H9" i="139"/>
  <c r="I9" i="139"/>
  <c r="J9" i="139"/>
  <c r="K9" i="139"/>
  <c r="L9" i="139"/>
  <c r="M9" i="139"/>
  <c r="N9" i="139"/>
  <c r="O12" i="139"/>
  <c r="O13" i="139"/>
  <c r="O14" i="139"/>
  <c r="C15" i="139"/>
  <c r="C23" i="139" s="1"/>
  <c r="D15" i="139"/>
  <c r="E15" i="139"/>
  <c r="F15" i="139"/>
  <c r="G15" i="139"/>
  <c r="H15" i="139"/>
  <c r="I15" i="139"/>
  <c r="J15" i="139"/>
  <c r="K15" i="139"/>
  <c r="K23" i="139" s="1"/>
  <c r="L15" i="139"/>
  <c r="M15" i="139"/>
  <c r="N15" i="139"/>
  <c r="O18" i="139"/>
  <c r="O19" i="139"/>
  <c r="O20" i="139"/>
  <c r="C21" i="139"/>
  <c r="D21" i="139"/>
  <c r="E21" i="139"/>
  <c r="F21" i="139"/>
  <c r="G21" i="139"/>
  <c r="H21" i="139"/>
  <c r="I21" i="139"/>
  <c r="J21" i="139"/>
  <c r="K21" i="139"/>
  <c r="L21" i="139"/>
  <c r="M21" i="139"/>
  <c r="N21" i="139"/>
  <c r="G23" i="139"/>
  <c r="O27" i="139"/>
  <c r="O28" i="139"/>
  <c r="O29" i="139"/>
  <c r="C30" i="139"/>
  <c r="D30" i="139"/>
  <c r="E30" i="139"/>
  <c r="F30" i="139"/>
  <c r="G30" i="139"/>
  <c r="H30" i="139"/>
  <c r="I30" i="139"/>
  <c r="J30" i="139"/>
  <c r="K30" i="139"/>
  <c r="L30" i="139"/>
  <c r="M30" i="139"/>
  <c r="N30" i="139"/>
  <c r="O33" i="139"/>
  <c r="O34" i="139"/>
  <c r="O35" i="139"/>
  <c r="C36" i="139"/>
  <c r="D36" i="139"/>
  <c r="E36" i="139"/>
  <c r="F36" i="139"/>
  <c r="G36" i="139"/>
  <c r="H36" i="139"/>
  <c r="I36" i="139"/>
  <c r="J36" i="139"/>
  <c r="K36" i="139"/>
  <c r="L36" i="139"/>
  <c r="M36" i="139"/>
  <c r="N36" i="139"/>
  <c r="O39" i="139"/>
  <c r="O40" i="139"/>
  <c r="O41" i="139"/>
  <c r="C42" i="139"/>
  <c r="D42" i="139"/>
  <c r="E42" i="139"/>
  <c r="F42" i="139"/>
  <c r="F44" i="139" s="1"/>
  <c r="G42" i="139"/>
  <c r="H42" i="139"/>
  <c r="I42" i="139"/>
  <c r="J42" i="139"/>
  <c r="K42" i="139"/>
  <c r="L42" i="139"/>
  <c r="M42" i="139"/>
  <c r="N42" i="139"/>
  <c r="N44" i="139" s="1"/>
  <c r="J44" i="139"/>
  <c r="A45" i="139"/>
  <c r="A25" i="250"/>
  <c r="A2" i="301"/>
  <c r="B2" i="301"/>
  <c r="C3" i="301"/>
  <c r="D3" i="301"/>
  <c r="E3" i="301"/>
  <c r="F3" i="301"/>
  <c r="G3" i="301"/>
  <c r="H3" i="301"/>
  <c r="A5" i="301"/>
  <c r="A6" i="301"/>
  <c r="A7" i="301"/>
  <c r="A8" i="301"/>
  <c r="A24" i="301" s="1"/>
  <c r="A9" i="301"/>
  <c r="A10" i="301"/>
  <c r="A11" i="301"/>
  <c r="C11" i="301"/>
  <c r="D11" i="301"/>
  <c r="E11" i="301"/>
  <c r="F11" i="301"/>
  <c r="G11" i="301"/>
  <c r="H11" i="301"/>
  <c r="I11" i="301"/>
  <c r="J11" i="301"/>
  <c r="K11" i="301"/>
  <c r="A12" i="301"/>
  <c r="A14" i="301"/>
  <c r="A15" i="301"/>
  <c r="A16" i="301"/>
  <c r="A17" i="301"/>
  <c r="A18" i="301"/>
  <c r="A19" i="301"/>
  <c r="C19" i="301"/>
  <c r="D19" i="301"/>
  <c r="E19" i="301"/>
  <c r="F19" i="301"/>
  <c r="G19" i="301"/>
  <c r="H19" i="301"/>
  <c r="I19" i="301"/>
  <c r="J19" i="301"/>
  <c r="K19" i="301"/>
  <c r="A20" i="301"/>
  <c r="C20" i="301"/>
  <c r="D20" i="301"/>
  <c r="E20" i="301"/>
  <c r="F20" i="301"/>
  <c r="G20" i="301"/>
  <c r="H20" i="301"/>
  <c r="I20" i="301"/>
  <c r="J20" i="301"/>
  <c r="K20" i="301"/>
  <c r="A25" i="301"/>
  <c r="A26" i="301"/>
  <c r="A27" i="301"/>
  <c r="C28" i="301"/>
  <c r="D28" i="301"/>
  <c r="E28" i="301"/>
  <c r="F28" i="301"/>
  <c r="G28" i="301"/>
  <c r="H28" i="301"/>
  <c r="I28" i="301"/>
  <c r="J28" i="301"/>
  <c r="K28" i="301"/>
  <c r="A31" i="301"/>
  <c r="A32" i="301"/>
  <c r="A33" i="301"/>
  <c r="A34" i="301"/>
  <c r="A38" i="301"/>
  <c r="A39" i="301"/>
  <c r="A40" i="301"/>
  <c r="B2" i="148"/>
  <c r="C10" i="148"/>
  <c r="D10" i="148"/>
  <c r="E10" i="148"/>
  <c r="F10" i="148"/>
  <c r="G10" i="148"/>
  <c r="H10" i="148"/>
  <c r="I10" i="148"/>
  <c r="J10" i="148"/>
  <c r="K10" i="148"/>
  <c r="C20" i="148"/>
  <c r="D20" i="148"/>
  <c r="E20" i="148"/>
  <c r="F20" i="148"/>
  <c r="G20" i="148"/>
  <c r="H20" i="148"/>
  <c r="I20" i="148"/>
  <c r="J20" i="148"/>
  <c r="K20" i="148"/>
  <c r="C36" i="148"/>
  <c r="D36" i="148"/>
  <c r="E36" i="148"/>
  <c r="F36" i="148"/>
  <c r="G36" i="148"/>
  <c r="H36" i="148"/>
  <c r="I36" i="148"/>
  <c r="J36" i="148"/>
  <c r="K36" i="148"/>
  <c r="A43" i="148"/>
  <c r="D12" i="237"/>
  <c r="H12" i="237"/>
  <c r="A2" i="337"/>
  <c r="B2" i="337"/>
  <c r="C3" i="337"/>
  <c r="D3" i="337"/>
  <c r="E3" i="337"/>
  <c r="F3" i="337"/>
  <c r="G3" i="337"/>
  <c r="H3" i="337"/>
  <c r="C15" i="337"/>
  <c r="C17" i="337" s="1"/>
  <c r="D15" i="337"/>
  <c r="E15" i="337"/>
  <c r="F15" i="337"/>
  <c r="G15" i="337"/>
  <c r="G17" i="337" s="1"/>
  <c r="H15" i="337"/>
  <c r="H17" i="337" s="1"/>
  <c r="J15" i="337"/>
  <c r="K15" i="337"/>
  <c r="K17" i="337" s="1"/>
  <c r="L15" i="337"/>
  <c r="D17" i="337"/>
  <c r="E17" i="337"/>
  <c r="F17" i="337"/>
  <c r="L17" i="337"/>
  <c r="A21" i="337"/>
  <c r="A22" i="337"/>
  <c r="A23" i="337"/>
  <c r="A24" i="337"/>
  <c r="A25" i="337"/>
  <c r="A26" i="337"/>
  <c r="A27" i="337"/>
  <c r="A28" i="337"/>
  <c r="A29" i="337"/>
  <c r="A30" i="337"/>
  <c r="C30" i="337"/>
  <c r="D30" i="337"/>
  <c r="D32" i="337" s="1"/>
  <c r="E30" i="337"/>
  <c r="E32" i="337" s="1"/>
  <c r="F30" i="337"/>
  <c r="F32" i="337" s="1"/>
  <c r="G30" i="337"/>
  <c r="G32" i="337" s="1"/>
  <c r="H30" i="337"/>
  <c r="H32" i="337" s="1"/>
  <c r="J30" i="337"/>
  <c r="K30" i="337"/>
  <c r="L30" i="337"/>
  <c r="L32" i="337" s="1"/>
  <c r="A31" i="337"/>
  <c r="C32" i="337"/>
  <c r="K32" i="337"/>
  <c r="A36" i="337"/>
  <c r="A37" i="337"/>
  <c r="A38" i="337"/>
  <c r="A39" i="337"/>
  <c r="A40" i="337"/>
  <c r="A41" i="337"/>
  <c r="A42" i="337"/>
  <c r="A43" i="337"/>
  <c r="A44" i="337"/>
  <c r="I44" i="337"/>
  <c r="A45" i="337"/>
  <c r="C45" i="337"/>
  <c r="C47" i="337" s="1"/>
  <c r="D45" i="337"/>
  <c r="E45" i="337"/>
  <c r="F45" i="337"/>
  <c r="G45" i="337"/>
  <c r="H45" i="337"/>
  <c r="J45" i="337"/>
  <c r="K45" i="337"/>
  <c r="L45" i="337"/>
  <c r="A46" i="337"/>
  <c r="I46" i="337"/>
  <c r="D47" i="337"/>
  <c r="E47" i="337"/>
  <c r="F47" i="337"/>
  <c r="G47" i="337"/>
  <c r="H47" i="337"/>
  <c r="J47" i="337"/>
  <c r="K47" i="337"/>
  <c r="L47" i="337"/>
  <c r="A48" i="337"/>
  <c r="A50" i="337"/>
  <c r="A2" i="361"/>
  <c r="B2" i="361"/>
  <c r="S40" i="361"/>
  <c r="S41" i="361"/>
  <c r="A90" i="361"/>
  <c r="A2" i="360"/>
  <c r="B2" i="360"/>
  <c r="S39" i="360"/>
  <c r="S40" i="360"/>
  <c r="A50" i="360"/>
  <c r="A2" i="335"/>
  <c r="B2" i="335"/>
  <c r="S39" i="335"/>
  <c r="S40" i="335"/>
  <c r="A50" i="335"/>
  <c r="A2" i="336"/>
  <c r="B2" i="336"/>
  <c r="C3" i="336"/>
  <c r="D3" i="336"/>
  <c r="E3" i="336"/>
  <c r="F3" i="336"/>
  <c r="G3" i="336"/>
  <c r="H3" i="336"/>
  <c r="C37" i="336"/>
  <c r="D37" i="336"/>
  <c r="E37" i="336"/>
  <c r="F37" i="336"/>
  <c r="G37" i="336"/>
  <c r="H37" i="336"/>
  <c r="I37" i="336"/>
  <c r="J37" i="336"/>
  <c r="K37" i="336"/>
  <c r="C63" i="336"/>
  <c r="D63" i="336"/>
  <c r="E63" i="336"/>
  <c r="F63" i="336"/>
  <c r="G63" i="336"/>
  <c r="H63" i="336"/>
  <c r="I63" i="336"/>
  <c r="J63" i="336"/>
  <c r="K63" i="336"/>
  <c r="A65" i="336"/>
  <c r="A2" i="123"/>
  <c r="C2" i="123"/>
  <c r="D3" i="123"/>
  <c r="E3" i="123"/>
  <c r="F3" i="123"/>
  <c r="G3" i="123"/>
  <c r="H3" i="123"/>
  <c r="I3" i="123"/>
  <c r="J3" i="123"/>
  <c r="A5" i="123"/>
  <c r="E16" i="123"/>
  <c r="F16" i="123"/>
  <c r="G16" i="123"/>
  <c r="H16" i="123"/>
  <c r="I16" i="123"/>
  <c r="J16" i="123"/>
  <c r="K16" i="123"/>
  <c r="L16" i="123"/>
  <c r="M16" i="123"/>
  <c r="B18" i="123"/>
  <c r="A20" i="123"/>
  <c r="A38" i="123"/>
  <c r="A39" i="123"/>
  <c r="A40" i="123"/>
  <c r="A41" i="123"/>
  <c r="A42" i="123"/>
  <c r="D50" i="123"/>
  <c r="E50" i="123"/>
  <c r="F50" i="123"/>
  <c r="G50" i="123"/>
  <c r="H50" i="123"/>
  <c r="I50" i="123"/>
  <c r="J50" i="123"/>
  <c r="K50" i="123"/>
  <c r="L50" i="123"/>
  <c r="M50" i="123"/>
  <c r="A51" i="123"/>
  <c r="D51" i="123"/>
  <c r="E51" i="123"/>
  <c r="F51" i="123"/>
  <c r="G51" i="123"/>
  <c r="H51" i="123"/>
  <c r="I51" i="123"/>
  <c r="J51" i="123"/>
  <c r="K51" i="123"/>
  <c r="L51" i="123"/>
  <c r="M51" i="123"/>
  <c r="D53" i="123"/>
  <c r="E53" i="123"/>
  <c r="F53" i="123"/>
  <c r="G53" i="123"/>
  <c r="H53" i="123"/>
  <c r="I53" i="123"/>
  <c r="J53" i="123"/>
  <c r="D56" i="123"/>
  <c r="E56" i="123"/>
  <c r="F56" i="123"/>
  <c r="G56" i="123"/>
  <c r="H56" i="123"/>
  <c r="I56" i="123"/>
  <c r="J56" i="123"/>
  <c r="K56" i="123"/>
  <c r="K14" i="123" s="1"/>
  <c r="L56" i="123"/>
  <c r="M56" i="123"/>
  <c r="B57" i="123"/>
  <c r="B58" i="123"/>
  <c r="K68" i="123"/>
  <c r="L68" i="123"/>
  <c r="M68" i="123"/>
  <c r="K76" i="123"/>
  <c r="L76" i="123"/>
  <c r="M76" i="123"/>
  <c r="K82" i="123"/>
  <c r="L82" i="123"/>
  <c r="M82" i="123"/>
  <c r="A84" i="123"/>
  <c r="K84" i="123"/>
  <c r="L84" i="123"/>
  <c r="M84" i="123"/>
  <c r="K120" i="123"/>
  <c r="A137" i="123"/>
  <c r="C3" i="88"/>
  <c r="D3" i="88"/>
  <c r="E3" i="88"/>
  <c r="F3" i="88"/>
  <c r="G3" i="88"/>
  <c r="H3" i="88"/>
  <c r="I3" i="88"/>
  <c r="A36" i="88"/>
  <c r="D43" i="88"/>
  <c r="E43" i="88"/>
  <c r="F43" i="88"/>
  <c r="G43" i="88"/>
  <c r="H43" i="88"/>
  <c r="I43" i="88"/>
  <c r="J43" i="88"/>
  <c r="K43" i="88"/>
  <c r="L43" i="88"/>
  <c r="C45" i="88"/>
  <c r="D45" i="88"/>
  <c r="E45" i="88"/>
  <c r="F45" i="88"/>
  <c r="H45" i="88"/>
  <c r="I45" i="88"/>
  <c r="J45" i="88"/>
  <c r="K45" i="88"/>
  <c r="L45" i="88"/>
  <c r="B9" i="86"/>
  <c r="C9" i="86"/>
  <c r="D9" i="86"/>
  <c r="E9" i="86"/>
  <c r="F9" i="86"/>
  <c r="G9" i="86"/>
  <c r="H9" i="86"/>
  <c r="C21" i="86"/>
  <c r="E21" i="86"/>
  <c r="G21" i="86"/>
  <c r="B62" i="86"/>
  <c r="D62" i="86"/>
  <c r="F62" i="86"/>
  <c r="I62" i="86"/>
  <c r="K62" i="86"/>
  <c r="B63" i="86"/>
  <c r="D63" i="86"/>
  <c r="F63" i="86"/>
  <c r="H63" i="86"/>
  <c r="K63" i="86"/>
  <c r="C64" i="86"/>
  <c r="E64" i="86"/>
  <c r="G64" i="86"/>
  <c r="J65" i="86"/>
  <c r="D126" i="123"/>
  <c r="E126" i="123"/>
  <c r="F126" i="123"/>
  <c r="G126" i="123"/>
  <c r="H126" i="123"/>
  <c r="I126" i="123"/>
  <c r="K126" i="123"/>
  <c r="M126" i="123"/>
  <c r="B60" i="86"/>
  <c r="F60" i="86"/>
  <c r="I60" i="86"/>
  <c r="M52" i="338"/>
  <c r="H8" i="339"/>
  <c r="A54" i="86"/>
  <c r="A2" i="237"/>
  <c r="B2" i="237"/>
  <c r="C3" i="237"/>
  <c r="D3" i="237"/>
  <c r="E3" i="237"/>
  <c r="F3" i="237"/>
  <c r="G3" i="237"/>
  <c r="H3" i="237"/>
  <c r="I3" i="237"/>
  <c r="A5" i="237"/>
  <c r="A7" i="237"/>
  <c r="C7" i="237"/>
  <c r="D7" i="237"/>
  <c r="E7" i="237"/>
  <c r="F7" i="237"/>
  <c r="G7" i="237"/>
  <c r="H7" i="237"/>
  <c r="I7" i="237"/>
  <c r="J7" i="237"/>
  <c r="K7" i="237"/>
  <c r="L7" i="237"/>
  <c r="A11" i="237"/>
  <c r="C11" i="237"/>
  <c r="D11" i="237"/>
  <c r="E11" i="237"/>
  <c r="F11" i="237"/>
  <c r="G11" i="237"/>
  <c r="H11" i="237"/>
  <c r="I11" i="237"/>
  <c r="J11" i="237"/>
  <c r="K11" i="237"/>
  <c r="L11" i="237"/>
  <c r="C12" i="237"/>
  <c r="E12" i="237"/>
  <c r="F12" i="237"/>
  <c r="G12" i="237"/>
  <c r="J12" i="237"/>
  <c r="K12" i="237"/>
  <c r="L12" i="237"/>
  <c r="A18" i="237"/>
  <c r="A20" i="237"/>
  <c r="C31" i="237"/>
  <c r="D31" i="237"/>
  <c r="E31" i="237"/>
  <c r="F31" i="237"/>
  <c r="G31" i="237"/>
  <c r="H31" i="237"/>
  <c r="I31" i="237"/>
  <c r="J31" i="237"/>
  <c r="K31" i="237"/>
  <c r="L31" i="237"/>
  <c r="A40" i="237"/>
  <c r="C52" i="237"/>
  <c r="C16" i="237" s="1"/>
  <c r="D52" i="237"/>
  <c r="D16" i="237" s="1"/>
  <c r="E52" i="237"/>
  <c r="E16" i="237" s="1"/>
  <c r="F52" i="237"/>
  <c r="F16" i="237" s="1"/>
  <c r="G52" i="237"/>
  <c r="G16" i="237" s="1"/>
  <c r="H52" i="237"/>
  <c r="H16" i="237" s="1"/>
  <c r="I52" i="237"/>
  <c r="I16" i="237" s="1"/>
  <c r="J52" i="237"/>
  <c r="J16" i="237" s="1"/>
  <c r="K52" i="237"/>
  <c r="K16" i="237" s="1"/>
  <c r="L52" i="237"/>
  <c r="L16" i="237" s="1"/>
  <c r="A53" i="237"/>
  <c r="A54" i="237"/>
  <c r="C54" i="237"/>
  <c r="D54" i="237"/>
  <c r="E54" i="237"/>
  <c r="F54" i="237"/>
  <c r="G54" i="237"/>
  <c r="H54" i="237"/>
  <c r="I54" i="237"/>
  <c r="J54" i="237"/>
  <c r="K54" i="237"/>
  <c r="L54" i="237"/>
  <c r="A55" i="237"/>
  <c r="A56" i="237"/>
  <c r="C67" i="237"/>
  <c r="C17" i="237" s="1"/>
  <c r="D67" i="237"/>
  <c r="D17" i="237" s="1"/>
  <c r="E67" i="237"/>
  <c r="E17" i="237" s="1"/>
  <c r="F67" i="237"/>
  <c r="F17" i="237" s="1"/>
  <c r="G67" i="237"/>
  <c r="G17" i="237" s="1"/>
  <c r="H67" i="237"/>
  <c r="H17" i="237" s="1"/>
  <c r="I67" i="237"/>
  <c r="I17" i="237" s="1"/>
  <c r="J67" i="237"/>
  <c r="J17" i="237" s="1"/>
  <c r="K67" i="237"/>
  <c r="K17" i="237" s="1"/>
  <c r="L67" i="237"/>
  <c r="L17" i="237" s="1"/>
  <c r="F42" i="86"/>
  <c r="G42" i="86"/>
  <c r="H42" i="86"/>
  <c r="B43" i="86"/>
  <c r="D43" i="86"/>
  <c r="E43" i="86"/>
  <c r="F43" i="86"/>
  <c r="H43" i="86"/>
  <c r="B44" i="86"/>
  <c r="D44" i="86"/>
  <c r="E44" i="86"/>
  <c r="G44" i="86"/>
  <c r="H44" i="86"/>
  <c r="J44" i="86"/>
  <c r="K44" i="86"/>
  <c r="B36" i="86"/>
  <c r="C36" i="86"/>
  <c r="D36" i="86"/>
  <c r="D37" i="86"/>
  <c r="C37" i="86"/>
  <c r="B37" i="86"/>
  <c r="K38" i="86"/>
  <c r="G11" i="88"/>
  <c r="L17" i="233"/>
  <c r="L18" i="233"/>
  <c r="C28" i="86"/>
  <c r="F28" i="86"/>
  <c r="H107" i="123" s="1"/>
  <c r="G28" i="86"/>
  <c r="I107" i="123" s="1"/>
  <c r="H28" i="86"/>
  <c r="J107" i="123" s="1"/>
  <c r="J28" i="86"/>
  <c r="L107" i="123" s="1"/>
  <c r="K28" i="86"/>
  <c r="M107" i="123" s="1"/>
  <c r="B21" i="86"/>
  <c r="D21" i="86"/>
  <c r="F21" i="86"/>
  <c r="H21" i="86"/>
  <c r="A24" i="86"/>
  <c r="C15" i="233"/>
  <c r="E15" i="233"/>
  <c r="F15" i="233"/>
  <c r="G15" i="233"/>
  <c r="I15" i="233"/>
  <c r="J15" i="233"/>
  <c r="K15" i="233"/>
  <c r="C16" i="233"/>
  <c r="D16" i="233"/>
  <c r="F16" i="233"/>
  <c r="G16" i="233"/>
  <c r="H16" i="233"/>
  <c r="J16" i="233"/>
  <c r="K16" i="233"/>
  <c r="C17" i="233"/>
  <c r="D17" i="233"/>
  <c r="E17" i="233"/>
  <c r="F17" i="233"/>
  <c r="G17" i="233"/>
  <c r="H17" i="233"/>
  <c r="I17" i="233"/>
  <c r="J17" i="233"/>
  <c r="K17" i="233"/>
  <c r="D18" i="233"/>
  <c r="E18" i="233"/>
  <c r="F18" i="233"/>
  <c r="H18" i="233"/>
  <c r="I18" i="233"/>
  <c r="J18" i="233"/>
  <c r="C19" i="233"/>
  <c r="D19" i="233"/>
  <c r="E19" i="233"/>
  <c r="F19" i="233"/>
  <c r="G19" i="233"/>
  <c r="H19" i="233"/>
  <c r="I19" i="233"/>
  <c r="J19" i="233"/>
  <c r="K19" i="233"/>
  <c r="C33" i="233"/>
  <c r="D33" i="233"/>
  <c r="E33" i="233"/>
  <c r="F33" i="233"/>
  <c r="G33" i="233"/>
  <c r="H33" i="233"/>
  <c r="J33" i="233"/>
  <c r="K33" i="233"/>
  <c r="C34" i="233"/>
  <c r="D34" i="233"/>
  <c r="F34" i="233"/>
  <c r="H34" i="233"/>
  <c r="J34" i="233"/>
  <c r="K34" i="233"/>
  <c r="C35" i="233"/>
  <c r="D35" i="233"/>
  <c r="E35" i="233"/>
  <c r="G35" i="233"/>
  <c r="H35" i="233"/>
  <c r="I35" i="233"/>
  <c r="J35" i="233"/>
  <c r="K35" i="233"/>
  <c r="D36" i="233"/>
  <c r="F36" i="233"/>
  <c r="H36" i="233"/>
  <c r="J36" i="233"/>
  <c r="K36" i="233"/>
  <c r="D37" i="233"/>
  <c r="F37" i="233"/>
  <c r="H37" i="233"/>
  <c r="J37" i="233"/>
  <c r="A2" i="233"/>
  <c r="B2" i="233"/>
  <c r="L2" i="233"/>
  <c r="C3" i="233"/>
  <c r="D3" i="233"/>
  <c r="E3" i="233"/>
  <c r="F3" i="233"/>
  <c r="G3" i="233"/>
  <c r="H3" i="233"/>
  <c r="D15" i="233"/>
  <c r="H15" i="233"/>
  <c r="L15" i="233"/>
  <c r="E16" i="233"/>
  <c r="I16" i="233"/>
  <c r="L16" i="233"/>
  <c r="C18" i="233"/>
  <c r="G18" i="233"/>
  <c r="K18" i="233"/>
  <c r="L19" i="233"/>
  <c r="I33" i="233"/>
  <c r="L33" i="233"/>
  <c r="E34" i="233"/>
  <c r="G34" i="233"/>
  <c r="I34" i="233"/>
  <c r="L34" i="233"/>
  <c r="F35" i="233"/>
  <c r="L35" i="233"/>
  <c r="C36" i="233"/>
  <c r="E36" i="233"/>
  <c r="G36" i="233"/>
  <c r="I36" i="233"/>
  <c r="L36" i="233"/>
  <c r="C37" i="233"/>
  <c r="E37" i="233"/>
  <c r="G37" i="233"/>
  <c r="I37" i="233"/>
  <c r="K37" i="233"/>
  <c r="L37" i="233"/>
  <c r="L38" i="233"/>
  <c r="L39" i="233" s="1"/>
  <c r="M38" i="233"/>
  <c r="M39" i="233" s="1"/>
  <c r="N38" i="233"/>
  <c r="O38" i="233"/>
  <c r="O39" i="233" s="1"/>
  <c r="P38" i="233"/>
  <c r="P39" i="233" s="1"/>
  <c r="Q38" i="233"/>
  <c r="Q39" i="233" s="1"/>
  <c r="R38" i="233"/>
  <c r="S38" i="233"/>
  <c r="S39" i="233" s="1"/>
  <c r="T38" i="233"/>
  <c r="T39" i="233" s="1"/>
  <c r="U38" i="233"/>
  <c r="U39" i="233" s="1"/>
  <c r="V38" i="233"/>
  <c r="W38" i="233"/>
  <c r="W39" i="233" s="1"/>
  <c r="A39" i="233"/>
  <c r="A45" i="233" s="1"/>
  <c r="N39" i="233"/>
  <c r="R39" i="233"/>
  <c r="V39" i="233"/>
  <c r="A40" i="233"/>
  <c r="C6" i="133"/>
  <c r="F6" i="133"/>
  <c r="G6" i="133"/>
  <c r="H6" i="133"/>
  <c r="J6" i="133"/>
  <c r="K6" i="133"/>
  <c r="C8" i="133"/>
  <c r="D8" i="133"/>
  <c r="E8" i="133"/>
  <c r="F8" i="133"/>
  <c r="G8" i="133"/>
  <c r="H8" i="133"/>
  <c r="I8" i="133"/>
  <c r="J8" i="133"/>
  <c r="K8" i="133"/>
  <c r="C10" i="133"/>
  <c r="D10" i="133"/>
  <c r="G10" i="133"/>
  <c r="H10" i="133"/>
  <c r="J10" i="133"/>
  <c r="K10" i="133"/>
  <c r="C12" i="133"/>
  <c r="E12" i="133"/>
  <c r="F12" i="133"/>
  <c r="I12" i="133"/>
  <c r="J12" i="133"/>
  <c r="K12" i="133"/>
  <c r="C14" i="133"/>
  <c r="D14" i="133"/>
  <c r="E14" i="133"/>
  <c r="G14" i="133"/>
  <c r="H14" i="133"/>
  <c r="I14" i="133"/>
  <c r="K14" i="133"/>
  <c r="C16" i="133"/>
  <c r="D16" i="133"/>
  <c r="F16" i="133"/>
  <c r="G16" i="133"/>
  <c r="J16" i="133"/>
  <c r="K16" i="133"/>
  <c r="C17" i="133"/>
  <c r="D17" i="133"/>
  <c r="E17" i="133"/>
  <c r="F17" i="133"/>
  <c r="H17" i="133"/>
  <c r="J17" i="133"/>
  <c r="K17" i="133"/>
  <c r="C18" i="133"/>
  <c r="D18" i="133"/>
  <c r="E18" i="133"/>
  <c r="F18" i="133"/>
  <c r="G18" i="133"/>
  <c r="H18" i="133"/>
  <c r="I18" i="133"/>
  <c r="J18" i="133"/>
  <c r="K18" i="133"/>
  <c r="C20" i="133"/>
  <c r="D20" i="133"/>
  <c r="E20" i="133"/>
  <c r="F20" i="133"/>
  <c r="G20" i="133"/>
  <c r="I20" i="133"/>
  <c r="J20" i="133"/>
  <c r="K20" i="133"/>
  <c r="C21" i="133"/>
  <c r="D21" i="133"/>
  <c r="E21" i="133"/>
  <c r="F21" i="133"/>
  <c r="G21" i="133"/>
  <c r="H21" i="133"/>
  <c r="J21" i="133"/>
  <c r="K21" i="133"/>
  <c r="C22" i="133"/>
  <c r="D22" i="133"/>
  <c r="E22" i="133"/>
  <c r="F22" i="133"/>
  <c r="G22" i="133"/>
  <c r="H22" i="133"/>
  <c r="I22" i="133"/>
  <c r="J22" i="133"/>
  <c r="K22" i="133"/>
  <c r="C23" i="133"/>
  <c r="D23" i="133"/>
  <c r="E23" i="133"/>
  <c r="F23" i="133"/>
  <c r="G23" i="133"/>
  <c r="H23" i="133"/>
  <c r="I23" i="133"/>
  <c r="J23" i="133"/>
  <c r="K23" i="133"/>
  <c r="C24" i="133"/>
  <c r="D24" i="133"/>
  <c r="E24" i="133"/>
  <c r="F24" i="133"/>
  <c r="G24" i="133"/>
  <c r="H24" i="133"/>
  <c r="I24" i="133"/>
  <c r="J24" i="133"/>
  <c r="K24" i="133"/>
  <c r="A2" i="133"/>
  <c r="B2" i="133"/>
  <c r="C3" i="133"/>
  <c r="D3" i="133"/>
  <c r="E3" i="133"/>
  <c r="F3" i="133"/>
  <c r="G3" i="133"/>
  <c r="H3" i="133"/>
  <c r="C7" i="133"/>
  <c r="D7" i="133"/>
  <c r="E7" i="133"/>
  <c r="F7" i="133"/>
  <c r="G7" i="133"/>
  <c r="H7" i="133"/>
  <c r="I7" i="133"/>
  <c r="J7" i="133"/>
  <c r="K7" i="133"/>
  <c r="F10" i="133"/>
  <c r="C11" i="133"/>
  <c r="D11" i="133"/>
  <c r="E11" i="133"/>
  <c r="F11" i="133"/>
  <c r="G11" i="133"/>
  <c r="H11" i="133"/>
  <c r="I11" i="133"/>
  <c r="J11" i="133"/>
  <c r="K11" i="133"/>
  <c r="G12" i="133"/>
  <c r="C13" i="133"/>
  <c r="D13" i="133"/>
  <c r="E13" i="133"/>
  <c r="F13" i="133"/>
  <c r="G13" i="133"/>
  <c r="H13" i="133"/>
  <c r="I13" i="133"/>
  <c r="J13" i="133"/>
  <c r="K13" i="133"/>
  <c r="J14" i="133"/>
  <c r="I17" i="133"/>
  <c r="I21" i="133"/>
  <c r="A25" i="133"/>
  <c r="A28" i="133"/>
  <c r="A29" i="133"/>
  <c r="A30" i="133"/>
  <c r="A31" i="133"/>
  <c r="A32" i="133"/>
  <c r="A33" i="133"/>
  <c r="A34" i="133"/>
  <c r="A35" i="133"/>
  <c r="A36" i="133"/>
  <c r="A37" i="133"/>
  <c r="A38" i="133"/>
  <c r="A39" i="133"/>
  <c r="A40" i="133"/>
  <c r="A41" i="133"/>
  <c r="A42" i="133"/>
  <c r="A43" i="133"/>
  <c r="A44" i="133"/>
  <c r="A45" i="133"/>
  <c r="A46" i="133"/>
  <c r="A47" i="133"/>
  <c r="A48" i="133"/>
  <c r="A49" i="133"/>
  <c r="A50" i="133"/>
  <c r="A2" i="86"/>
  <c r="B3" i="86"/>
  <c r="C3" i="86"/>
  <c r="D3" i="86"/>
  <c r="E3" i="86"/>
  <c r="F3" i="86"/>
  <c r="G3" i="86"/>
  <c r="H3" i="86"/>
  <c r="B7" i="86"/>
  <c r="C7" i="86"/>
  <c r="D7" i="86"/>
  <c r="E7" i="86"/>
  <c r="F7" i="86"/>
  <c r="G7" i="86"/>
  <c r="H7" i="86"/>
  <c r="I7" i="86"/>
  <c r="J7" i="86"/>
  <c r="K7" i="86"/>
  <c r="B8" i="86"/>
  <c r="C8" i="86"/>
  <c r="D8" i="86"/>
  <c r="E8" i="86"/>
  <c r="F8" i="86"/>
  <c r="G8" i="86"/>
  <c r="H8" i="86"/>
  <c r="I8" i="86"/>
  <c r="J8" i="86"/>
  <c r="K8" i="86"/>
  <c r="A10" i="86"/>
  <c r="B12" i="86"/>
  <c r="C12" i="86"/>
  <c r="D12" i="86"/>
  <c r="F100" i="123" s="1"/>
  <c r="E12" i="86"/>
  <c r="G100" i="123" s="1"/>
  <c r="F12" i="86"/>
  <c r="G12" i="86"/>
  <c r="H12" i="86"/>
  <c r="I12" i="86"/>
  <c r="K100" i="123" s="1"/>
  <c r="J12" i="86"/>
  <c r="K12" i="86"/>
  <c r="B14" i="86"/>
  <c r="C14" i="86"/>
  <c r="D14" i="86"/>
  <c r="E14" i="86"/>
  <c r="F14" i="86"/>
  <c r="G14" i="86"/>
  <c r="H14" i="86"/>
  <c r="I14" i="86"/>
  <c r="J14" i="86"/>
  <c r="K14" i="86"/>
  <c r="A18" i="86"/>
  <c r="A19" i="86"/>
  <c r="A20" i="86"/>
  <c r="B20" i="86"/>
  <c r="C20" i="86"/>
  <c r="D20" i="86"/>
  <c r="E20" i="86"/>
  <c r="F20" i="86"/>
  <c r="G20" i="86"/>
  <c r="H20" i="86"/>
  <c r="I20" i="86"/>
  <c r="J20" i="86"/>
  <c r="K20" i="86"/>
  <c r="A22" i="86"/>
  <c r="A23" i="86"/>
  <c r="B23" i="86"/>
  <c r="C23" i="86"/>
  <c r="D23" i="86"/>
  <c r="E23" i="86"/>
  <c r="F23" i="86"/>
  <c r="G23" i="86"/>
  <c r="H23" i="86"/>
  <c r="I23" i="86"/>
  <c r="J23" i="86"/>
  <c r="K23" i="86"/>
  <c r="D28" i="86"/>
  <c r="A29" i="86"/>
  <c r="B29" i="86"/>
  <c r="C29" i="86"/>
  <c r="D29" i="86"/>
  <c r="E29" i="86"/>
  <c r="F29" i="86"/>
  <c r="G29" i="86"/>
  <c r="H29" i="86"/>
  <c r="I29" i="86"/>
  <c r="J29" i="86"/>
  <c r="K29" i="86"/>
  <c r="A30" i="86"/>
  <c r="B30" i="86"/>
  <c r="D106" i="123" s="1"/>
  <c r="C30" i="86"/>
  <c r="E106" i="123" s="1"/>
  <c r="D30" i="86"/>
  <c r="E30" i="86"/>
  <c r="G106" i="123" s="1"/>
  <c r="F30" i="86"/>
  <c r="H106" i="123" s="1"/>
  <c r="G30" i="86"/>
  <c r="I106" i="123" s="1"/>
  <c r="H30" i="86"/>
  <c r="J106" i="123" s="1"/>
  <c r="I30" i="86"/>
  <c r="K106" i="123" s="1"/>
  <c r="J30" i="86"/>
  <c r="L106" i="123" s="1"/>
  <c r="K30" i="86"/>
  <c r="M106" i="123" s="1"/>
  <c r="A31" i="86"/>
  <c r="A35" i="86"/>
  <c r="A36" i="86"/>
  <c r="A37" i="86"/>
  <c r="A38" i="86"/>
  <c r="E42" i="86"/>
  <c r="C43" i="86"/>
  <c r="G43" i="86"/>
  <c r="C44" i="86"/>
  <c r="I44" i="86"/>
  <c r="A45" i="86"/>
  <c r="A41" i="301" s="1"/>
  <c r="A48" i="86"/>
  <c r="A49" i="86"/>
  <c r="D59" i="86"/>
  <c r="E59" i="86"/>
  <c r="F59" i="86"/>
  <c r="G59" i="86"/>
  <c r="H59" i="86"/>
  <c r="C60" i="86"/>
  <c r="E60" i="86"/>
  <c r="G60" i="86"/>
  <c r="J60" i="86"/>
  <c r="A62" i="86"/>
  <c r="C62" i="86"/>
  <c r="E62" i="86"/>
  <c r="G62" i="86"/>
  <c r="J62" i="86"/>
  <c r="A63" i="86"/>
  <c r="C63" i="86"/>
  <c r="E63" i="86"/>
  <c r="G63" i="86"/>
  <c r="J63" i="86"/>
  <c r="A64" i="86"/>
  <c r="B64" i="86"/>
  <c r="D64" i="86"/>
  <c r="F64" i="86"/>
  <c r="H64" i="86"/>
  <c r="I64" i="86"/>
  <c r="J64" i="86"/>
  <c r="K64" i="86"/>
  <c r="A65" i="86"/>
  <c r="B65" i="86"/>
  <c r="C65" i="86"/>
  <c r="D65" i="86"/>
  <c r="E65" i="86"/>
  <c r="F65" i="86"/>
  <c r="G65" i="86"/>
  <c r="H65" i="86"/>
  <c r="I65" i="86"/>
  <c r="K65" i="86"/>
  <c r="A2" i="347"/>
  <c r="A23" i="233" s="1"/>
  <c r="A3" i="347"/>
  <c r="A6" i="233" s="1"/>
  <c r="D3" i="347"/>
  <c r="A4" i="347"/>
  <c r="D4" i="347"/>
  <c r="A5" i="347"/>
  <c r="A26" i="233" s="1"/>
  <c r="D5" i="347"/>
  <c r="A6" i="347"/>
  <c r="D6" i="347"/>
  <c r="A7" i="347"/>
  <c r="A28" i="233" s="1"/>
  <c r="D7" i="347"/>
  <c r="A8" i="347"/>
  <c r="D8" i="347"/>
  <c r="A9" i="347"/>
  <c r="A12" i="233" s="1"/>
  <c r="D9" i="347"/>
  <c r="A10" i="347"/>
  <c r="D10" i="347"/>
  <c r="A11" i="347"/>
  <c r="A14" i="233" s="1"/>
  <c r="D11" i="347"/>
  <c r="A12" i="347"/>
  <c r="D12" i="347"/>
  <c r="A13" i="347"/>
  <c r="A34" i="233" s="1"/>
  <c r="A14" i="347"/>
  <c r="D14" i="347"/>
  <c r="A15" i="347"/>
  <c r="A36" i="233" s="1"/>
  <c r="D15" i="347"/>
  <c r="A16" i="347"/>
  <c r="A19" i="233" s="1"/>
  <c r="D16" i="347"/>
  <c r="D17" i="347"/>
  <c r="D18" i="347"/>
  <c r="D19" i="347"/>
  <c r="D20" i="347"/>
  <c r="D21" i="347"/>
  <c r="D22" i="347"/>
  <c r="D23" i="347"/>
  <c r="D25" i="347"/>
  <c r="D26" i="347"/>
  <c r="D27" i="347"/>
  <c r="D28" i="347"/>
  <c r="D29" i="347"/>
  <c r="D30" i="347"/>
  <c r="D31" i="347"/>
  <c r="D32" i="347"/>
  <c r="D33" i="347"/>
  <c r="D34" i="347"/>
  <c r="D36" i="347"/>
  <c r="D37" i="347"/>
  <c r="D38" i="347"/>
  <c r="D39" i="347"/>
  <c r="D40" i="347"/>
  <c r="D41" i="347"/>
  <c r="D42" i="347"/>
  <c r="D43" i="347"/>
  <c r="D44" i="347"/>
  <c r="D45" i="347"/>
  <c r="D47" i="347"/>
  <c r="D48" i="347"/>
  <c r="D49" i="347"/>
  <c r="D50" i="347"/>
  <c r="D51" i="347"/>
  <c r="D52" i="347"/>
  <c r="D53" i="347"/>
  <c r="D54" i="347"/>
  <c r="D55" i="347"/>
  <c r="D56" i="347"/>
  <c r="D58" i="347"/>
  <c r="D59" i="347"/>
  <c r="D60" i="347"/>
  <c r="D61" i="347"/>
  <c r="D62" i="347"/>
  <c r="D63" i="347"/>
  <c r="D64" i="347"/>
  <c r="D65" i="347"/>
  <c r="D66" i="347"/>
  <c r="D67" i="347"/>
  <c r="D69" i="347"/>
  <c r="D70" i="347"/>
  <c r="D71" i="347"/>
  <c r="D72" i="347"/>
  <c r="D73" i="347"/>
  <c r="D74" i="347"/>
  <c r="D75" i="347"/>
  <c r="D76" i="347"/>
  <c r="D77" i="347"/>
  <c r="D78" i="347"/>
  <c r="D80" i="347"/>
  <c r="D81" i="347"/>
  <c r="D82" i="347"/>
  <c r="D83" i="347"/>
  <c r="D84" i="347"/>
  <c r="D85" i="347"/>
  <c r="D86" i="347"/>
  <c r="D87" i="347"/>
  <c r="D88" i="347"/>
  <c r="D89" i="347"/>
  <c r="D91" i="347"/>
  <c r="D92" i="347"/>
  <c r="D93" i="347"/>
  <c r="D94" i="347"/>
  <c r="D95" i="347"/>
  <c r="D96" i="347"/>
  <c r="D97" i="347"/>
  <c r="D98" i="347"/>
  <c r="D99" i="347"/>
  <c r="D100" i="347"/>
  <c r="D102" i="347"/>
  <c r="D103" i="347"/>
  <c r="D104" i="347"/>
  <c r="D105" i="347"/>
  <c r="D106" i="347"/>
  <c r="D107" i="347"/>
  <c r="D108" i="347"/>
  <c r="D109" i="347"/>
  <c r="D110" i="347"/>
  <c r="D111" i="347"/>
  <c r="D113" i="347"/>
  <c r="D114" i="347"/>
  <c r="D115" i="347"/>
  <c r="D116" i="347"/>
  <c r="D117" i="347"/>
  <c r="D118" i="347"/>
  <c r="D119" i="347"/>
  <c r="D120" i="347"/>
  <c r="D121" i="347"/>
  <c r="D122" i="347"/>
  <c r="D124" i="347"/>
  <c r="D125" i="347"/>
  <c r="D126" i="347"/>
  <c r="D127" i="347"/>
  <c r="D128" i="347"/>
  <c r="D129" i="347"/>
  <c r="D130" i="347"/>
  <c r="D131" i="347"/>
  <c r="D132" i="347"/>
  <c r="D133" i="347"/>
  <c r="D135" i="347"/>
  <c r="D136" i="347"/>
  <c r="D137" i="347"/>
  <c r="D138" i="347"/>
  <c r="D139" i="347"/>
  <c r="D140" i="347"/>
  <c r="D141" i="347"/>
  <c r="D142" i="347"/>
  <c r="D143" i="347"/>
  <c r="D144" i="347"/>
  <c r="D146" i="347"/>
  <c r="D147" i="347"/>
  <c r="D148" i="347"/>
  <c r="D149" i="347"/>
  <c r="D150" i="347"/>
  <c r="D151" i="347"/>
  <c r="D152" i="347"/>
  <c r="D153" i="347"/>
  <c r="D154" i="347"/>
  <c r="D155" i="347"/>
  <c r="D157" i="347"/>
  <c r="D158" i="347"/>
  <c r="D159" i="347"/>
  <c r="D160" i="347"/>
  <c r="D161" i="347"/>
  <c r="D162" i="347"/>
  <c r="D163" i="347"/>
  <c r="D164" i="347"/>
  <c r="D165" i="347"/>
  <c r="D166" i="347"/>
  <c r="A2" i="344"/>
  <c r="E2" i="344"/>
  <c r="F2" i="344"/>
  <c r="G2" i="344"/>
  <c r="H2" i="344"/>
  <c r="I2" i="344"/>
  <c r="J2" i="344"/>
  <c r="K2" i="344"/>
  <c r="L2" i="344"/>
  <c r="M2" i="344"/>
  <c r="N2" i="344"/>
  <c r="O2" i="344"/>
  <c r="A3" i="344"/>
  <c r="E3" i="344"/>
  <c r="F3" i="344"/>
  <c r="G3" i="344"/>
  <c r="H3" i="344"/>
  <c r="I3" i="344"/>
  <c r="J3" i="344"/>
  <c r="K3" i="344"/>
  <c r="L3" i="344"/>
  <c r="M3" i="344"/>
  <c r="N3" i="344"/>
  <c r="O3" i="344"/>
  <c r="A4" i="344"/>
  <c r="E4" i="344"/>
  <c r="F4" i="344"/>
  <c r="G4" i="344"/>
  <c r="H4" i="344"/>
  <c r="I4" i="344"/>
  <c r="J4" i="344"/>
  <c r="K4" i="344"/>
  <c r="L4" i="344"/>
  <c r="M4" i="344"/>
  <c r="N4" i="344"/>
  <c r="O4" i="344"/>
  <c r="A5" i="344"/>
  <c r="E5" i="344"/>
  <c r="F5" i="344"/>
  <c r="G5" i="344"/>
  <c r="H5" i="344"/>
  <c r="I5" i="344"/>
  <c r="J5" i="344"/>
  <c r="K5" i="344"/>
  <c r="L5" i="344"/>
  <c r="M5" i="344"/>
  <c r="N5" i="344"/>
  <c r="O5" i="344"/>
  <c r="A6" i="344"/>
  <c r="E6" i="344"/>
  <c r="F6" i="344"/>
  <c r="G6" i="344"/>
  <c r="H6" i="344"/>
  <c r="I6" i="344"/>
  <c r="J6" i="344"/>
  <c r="K6" i="344"/>
  <c r="L6" i="344"/>
  <c r="M6" i="344"/>
  <c r="N6" i="344"/>
  <c r="O6" i="344"/>
  <c r="A7" i="344"/>
  <c r="E7" i="344"/>
  <c r="F7" i="344"/>
  <c r="G7" i="344"/>
  <c r="H7" i="344"/>
  <c r="I7" i="344"/>
  <c r="J7" i="344"/>
  <c r="K7" i="344"/>
  <c r="L7" i="344"/>
  <c r="M7" i="344"/>
  <c r="N7" i="344"/>
  <c r="O7" i="344"/>
  <c r="A8" i="344"/>
  <c r="E8" i="344"/>
  <c r="F8" i="344"/>
  <c r="G8" i="344"/>
  <c r="H8" i="344"/>
  <c r="I8" i="344"/>
  <c r="J8" i="344"/>
  <c r="K8" i="344"/>
  <c r="L8" i="344"/>
  <c r="M8" i="344"/>
  <c r="N8" i="344"/>
  <c r="O8" i="344"/>
  <c r="A9" i="344"/>
  <c r="E9" i="344"/>
  <c r="F9" i="344"/>
  <c r="G9" i="344"/>
  <c r="H9" i="344"/>
  <c r="I9" i="344"/>
  <c r="J9" i="344"/>
  <c r="K9" i="344"/>
  <c r="L9" i="344"/>
  <c r="M9" i="344"/>
  <c r="N9" i="344"/>
  <c r="O9" i="344"/>
  <c r="A10" i="344"/>
  <c r="E10" i="344"/>
  <c r="F10" i="344"/>
  <c r="G10" i="344"/>
  <c r="H10" i="344"/>
  <c r="I10" i="344"/>
  <c r="J10" i="344"/>
  <c r="K10" i="344"/>
  <c r="L10" i="344"/>
  <c r="M10" i="344"/>
  <c r="N10" i="344"/>
  <c r="O10" i="344"/>
  <c r="A11" i="344"/>
  <c r="E11" i="344"/>
  <c r="F11" i="344"/>
  <c r="G11" i="344"/>
  <c r="H11" i="344"/>
  <c r="I11" i="344"/>
  <c r="J11" i="344"/>
  <c r="K11" i="344"/>
  <c r="L11" i="344"/>
  <c r="M11" i="344"/>
  <c r="N11" i="344"/>
  <c r="O11" i="344"/>
  <c r="A12" i="344"/>
  <c r="E12" i="344"/>
  <c r="F12" i="344"/>
  <c r="G12" i="344"/>
  <c r="H12" i="344"/>
  <c r="I12" i="344"/>
  <c r="J12" i="344"/>
  <c r="K12" i="344"/>
  <c r="L12" i="344"/>
  <c r="M12" i="344"/>
  <c r="N12" i="344"/>
  <c r="O12" i="344"/>
  <c r="A13" i="344"/>
  <c r="E13" i="344"/>
  <c r="F13" i="344"/>
  <c r="G13" i="344"/>
  <c r="H13" i="344"/>
  <c r="I13" i="344"/>
  <c r="J13" i="344"/>
  <c r="K13" i="344"/>
  <c r="L13" i="344"/>
  <c r="M13" i="344"/>
  <c r="N13" i="344"/>
  <c r="O13" i="344"/>
  <c r="A14" i="344"/>
  <c r="E14" i="344"/>
  <c r="F14" i="344"/>
  <c r="G14" i="344"/>
  <c r="H14" i="344"/>
  <c r="I14" i="344"/>
  <c r="J14" i="344"/>
  <c r="K14" i="344"/>
  <c r="L14" i="344"/>
  <c r="M14" i="344"/>
  <c r="N14" i="344"/>
  <c r="O14" i="344"/>
  <c r="A15" i="344"/>
  <c r="E15" i="344"/>
  <c r="F15" i="344"/>
  <c r="G15" i="344"/>
  <c r="H15" i="344"/>
  <c r="I15" i="344"/>
  <c r="J15" i="344"/>
  <c r="K15" i="344"/>
  <c r="L15" i="344"/>
  <c r="M15" i="344"/>
  <c r="N15" i="344"/>
  <c r="O15" i="344"/>
  <c r="A16" i="344"/>
  <c r="E16" i="344"/>
  <c r="F16" i="344"/>
  <c r="G16" i="344"/>
  <c r="H16" i="344"/>
  <c r="I16" i="344"/>
  <c r="J16" i="344"/>
  <c r="K16" i="344"/>
  <c r="L16" i="344"/>
  <c r="M16" i="344"/>
  <c r="N16" i="344"/>
  <c r="O16" i="344"/>
  <c r="A17" i="344"/>
  <c r="E17" i="344"/>
  <c r="F17" i="344"/>
  <c r="G17" i="344"/>
  <c r="H17" i="344"/>
  <c r="I17" i="344"/>
  <c r="J17" i="344"/>
  <c r="K17" i="344"/>
  <c r="L17" i="344"/>
  <c r="M17" i="344"/>
  <c r="N17" i="344"/>
  <c r="O17" i="344"/>
  <c r="A18" i="344"/>
  <c r="E18" i="344"/>
  <c r="F18" i="344"/>
  <c r="G18" i="344"/>
  <c r="H18" i="344"/>
  <c r="I18" i="344"/>
  <c r="J18" i="344"/>
  <c r="K18" i="344"/>
  <c r="L18" i="344"/>
  <c r="M18" i="344"/>
  <c r="N18" i="344"/>
  <c r="O18" i="344"/>
  <c r="A19" i="344"/>
  <c r="E19" i="344"/>
  <c r="F19" i="344"/>
  <c r="G19" i="344"/>
  <c r="H19" i="344"/>
  <c r="I19" i="344"/>
  <c r="J19" i="344"/>
  <c r="K19" i="344"/>
  <c r="L19" i="344"/>
  <c r="M19" i="344"/>
  <c r="N19" i="344"/>
  <c r="O19" i="344"/>
  <c r="A20" i="344"/>
  <c r="E20" i="344"/>
  <c r="F20" i="344"/>
  <c r="G20" i="344"/>
  <c r="H20" i="344"/>
  <c r="I20" i="344"/>
  <c r="J20" i="344"/>
  <c r="K20" i="344"/>
  <c r="L20" i="344"/>
  <c r="M20" i="344"/>
  <c r="N20" i="344"/>
  <c r="O20" i="344"/>
  <c r="A21" i="344"/>
  <c r="E21" i="344"/>
  <c r="F21" i="344"/>
  <c r="G21" i="344"/>
  <c r="H21" i="344"/>
  <c r="I21" i="344"/>
  <c r="J21" i="344"/>
  <c r="K21" i="344"/>
  <c r="L21" i="344"/>
  <c r="M21" i="344"/>
  <c r="N21" i="344"/>
  <c r="O21" i="344"/>
  <c r="A22" i="344"/>
  <c r="E22" i="344"/>
  <c r="F22" i="344"/>
  <c r="G22" i="344"/>
  <c r="H22" i="344"/>
  <c r="I22" i="344"/>
  <c r="J22" i="344"/>
  <c r="K22" i="344"/>
  <c r="L22" i="344"/>
  <c r="M22" i="344"/>
  <c r="N22" i="344"/>
  <c r="O22" i="344"/>
  <c r="E23" i="344"/>
  <c r="F23" i="344"/>
  <c r="G23" i="344"/>
  <c r="H23" i="344"/>
  <c r="I23" i="344"/>
  <c r="J23" i="344"/>
  <c r="K23" i="344"/>
  <c r="L23" i="344"/>
  <c r="M23" i="344"/>
  <c r="N23" i="344"/>
  <c r="O23" i="344"/>
  <c r="A24" i="344"/>
  <c r="E24" i="344"/>
  <c r="F24" i="344"/>
  <c r="G24" i="344"/>
  <c r="H24" i="344"/>
  <c r="I24" i="344"/>
  <c r="J24" i="344"/>
  <c r="K24" i="344"/>
  <c r="L24" i="344"/>
  <c r="M24" i="344"/>
  <c r="N24" i="344"/>
  <c r="O24" i="344"/>
  <c r="B28" i="344"/>
  <c r="B93" i="100" s="1"/>
  <c r="B308" i="344"/>
  <c r="A95" i="100"/>
  <c r="E100" i="100"/>
  <c r="F100" i="100"/>
  <c r="E101" i="100"/>
  <c r="F101" i="100"/>
  <c r="E102" i="100"/>
  <c r="F102" i="100"/>
  <c r="E103" i="100"/>
  <c r="F103" i="100"/>
  <c r="A71" i="336" s="1"/>
  <c r="E104" i="100"/>
  <c r="F104" i="100"/>
  <c r="E105" i="100"/>
  <c r="F105" i="100"/>
  <c r="E106" i="100"/>
  <c r="F106" i="100"/>
  <c r="E107" i="100"/>
  <c r="F107" i="100"/>
  <c r="E108" i="100"/>
  <c r="F108" i="100"/>
  <c r="E109" i="100"/>
  <c r="F109" i="100"/>
  <c r="C110" i="100"/>
  <c r="D110" i="100"/>
  <c r="B111" i="100"/>
  <c r="E112" i="100"/>
  <c r="F112" i="100"/>
  <c r="B113" i="100"/>
  <c r="B114" i="100"/>
  <c r="B115" i="100"/>
  <c r="B116" i="100"/>
  <c r="B117" i="100"/>
  <c r="B118" i="100"/>
  <c r="B119" i="100"/>
  <c r="B120" i="100"/>
  <c r="B121" i="100"/>
  <c r="B122" i="100"/>
  <c r="B123" i="100"/>
  <c r="B124" i="100"/>
  <c r="B125" i="100"/>
  <c r="B126" i="100"/>
  <c r="B127" i="100"/>
  <c r="B128" i="100"/>
  <c r="B129" i="100"/>
  <c r="B130" i="100"/>
  <c r="B131" i="100"/>
  <c r="B132" i="100"/>
  <c r="B133" i="100"/>
  <c r="B134" i="100"/>
  <c r="B135" i="100"/>
  <c r="E136" i="100"/>
  <c r="F136" i="100"/>
  <c r="E137" i="100"/>
  <c r="F137" i="100"/>
  <c r="E138" i="100"/>
  <c r="F138" i="100"/>
  <c r="E139" i="100"/>
  <c r="F139" i="100"/>
  <c r="B139" i="100" s="1"/>
  <c r="E140" i="100"/>
  <c r="F140" i="100"/>
  <c r="E141" i="100"/>
  <c r="F141" i="100"/>
  <c r="E142" i="100"/>
  <c r="B143" i="100"/>
  <c r="B144" i="100"/>
  <c r="E145" i="100"/>
  <c r="F145" i="100"/>
  <c r="E146" i="100"/>
  <c r="F146" i="100"/>
  <c r="E147" i="100"/>
  <c r="F147" i="100"/>
  <c r="E148" i="100"/>
  <c r="F148" i="100"/>
  <c r="E149" i="100"/>
  <c r="F149" i="100"/>
  <c r="E150" i="100"/>
  <c r="F150" i="100"/>
  <c r="E151" i="100"/>
  <c r="F151" i="100"/>
  <c r="B154" i="100"/>
  <c r="B155" i="100"/>
  <c r="B156" i="100"/>
  <c r="B157" i="100"/>
  <c r="B158" i="100"/>
  <c r="B159" i="100"/>
  <c r="B160" i="100"/>
  <c r="B161" i="100"/>
  <c r="B162" i="100"/>
  <c r="B163" i="100"/>
  <c r="B164" i="100"/>
  <c r="B165" i="100"/>
  <c r="B166" i="100"/>
  <c r="B167" i="100"/>
  <c r="B168" i="100"/>
  <c r="B169" i="100"/>
  <c r="B170" i="100"/>
  <c r="B171" i="100"/>
  <c r="B172" i="100"/>
  <c r="B173" i="100"/>
  <c r="B174" i="100"/>
  <c r="B175" i="100"/>
  <c r="B176" i="100"/>
  <c r="X34" i="354"/>
  <c r="A37" i="233"/>
  <c r="A30" i="233"/>
  <c r="C15" i="88"/>
  <c r="L52" i="338"/>
  <c r="I52" i="338"/>
  <c r="I49" i="338" s="1"/>
  <c r="G52" i="338"/>
  <c r="G49" i="338" s="1"/>
  <c r="E52" i="338"/>
  <c r="B24" i="100"/>
  <c r="N2" i="139" s="1"/>
  <c r="B16" i="100"/>
  <c r="L4" i="338" s="1"/>
  <c r="F106" i="123"/>
  <c r="J32" i="337"/>
  <c r="J33" i="337" s="1"/>
  <c r="D23" i="139"/>
  <c r="F74" i="338"/>
  <c r="F26" i="338" s="1"/>
  <c r="K33" i="337"/>
  <c r="K3" i="337" l="1"/>
  <c r="B28" i="100"/>
  <c r="B20" i="100"/>
  <c r="B5" i="100"/>
  <c r="I47" i="337"/>
  <c r="G48" i="337"/>
  <c r="I45" i="337"/>
  <c r="M44" i="139"/>
  <c r="I44" i="139"/>
  <c r="E44" i="139"/>
  <c r="L44" i="139"/>
  <c r="H44" i="139"/>
  <c r="O36" i="139"/>
  <c r="M23" i="139"/>
  <c r="I23" i="139"/>
  <c r="E23" i="139"/>
  <c r="G54" i="294"/>
  <c r="G37" i="86"/>
  <c r="F23" i="338"/>
  <c r="J3" i="133"/>
  <c r="K37" i="86"/>
  <c r="I37" i="86"/>
  <c r="E37" i="86"/>
  <c r="H37" i="86"/>
  <c r="F37" i="86"/>
  <c r="G38" i="86"/>
  <c r="J2" i="139"/>
  <c r="F2" i="301"/>
  <c r="F2" i="148"/>
  <c r="F2" i="233"/>
  <c r="M14" i="123"/>
  <c r="D44" i="139"/>
  <c r="N23" i="139"/>
  <c r="J23" i="139"/>
  <c r="F23" i="139"/>
  <c r="I54" i="294"/>
  <c r="F54" i="294"/>
  <c r="K3" i="88"/>
  <c r="D52" i="338"/>
  <c r="L18" i="337"/>
  <c r="D38" i="86"/>
  <c r="A5" i="233"/>
  <c r="B150" i="100"/>
  <c r="J52" i="338"/>
  <c r="K59" i="86"/>
  <c r="I59" i="86"/>
  <c r="C59" i="86"/>
  <c r="K37" i="148"/>
  <c r="J37" i="148"/>
  <c r="I37" i="148"/>
  <c r="F37" i="148"/>
  <c r="H37" i="148"/>
  <c r="L48" i="337"/>
  <c r="L33" i="337"/>
  <c r="E38" i="86"/>
  <c r="J38" i="86"/>
  <c r="M74" i="338"/>
  <c r="J11" i="88"/>
  <c r="A10" i="233"/>
  <c r="F38" i="86"/>
  <c r="B38" i="86"/>
  <c r="C35" i="237"/>
  <c r="E74" i="338"/>
  <c r="E26" i="338" s="1"/>
  <c r="E23" i="338" s="1"/>
  <c r="G74" i="338"/>
  <c r="I28" i="86"/>
  <c r="K107" i="123" s="1"/>
  <c r="E28" i="86"/>
  <c r="G107" i="123" s="1"/>
  <c r="I2" i="296"/>
  <c r="F2" i="133"/>
  <c r="A10" i="294"/>
  <c r="A29" i="294" s="1"/>
  <c r="A14" i="294"/>
  <c r="A33" i="294" s="1"/>
  <c r="A15" i="233"/>
  <c r="B28" i="86"/>
  <c r="D107" i="123" s="1"/>
  <c r="A16" i="294"/>
  <c r="A35" i="294" s="1"/>
  <c r="H52" i="338"/>
  <c r="H49" i="338" s="1"/>
  <c r="I63" i="86"/>
  <c r="H62" i="86"/>
  <c r="K60" i="86"/>
  <c r="F56" i="338"/>
  <c r="F54" i="338" s="1"/>
  <c r="F53" i="338" s="1"/>
  <c r="D56" i="338"/>
  <c r="D54" i="338" s="1"/>
  <c r="D53" i="338" s="1"/>
  <c r="A35" i="233"/>
  <c r="C5" i="294"/>
  <c r="D35" i="237"/>
  <c r="H6" i="339"/>
  <c r="H60" i="86"/>
  <c r="K52" i="338"/>
  <c r="D60" i="86"/>
  <c r="F52" i="338"/>
  <c r="L126" i="123"/>
  <c r="J59" i="86"/>
  <c r="E31" i="86"/>
  <c r="B103" i="100"/>
  <c r="L11" i="88"/>
  <c r="F11" i="88"/>
  <c r="D11" i="88"/>
  <c r="J48" i="337"/>
  <c r="I32" i="337"/>
  <c r="O30" i="139"/>
  <c r="J76" i="348"/>
  <c r="G37" i="148"/>
  <c r="H48" i="337"/>
  <c r="E48" i="337"/>
  <c r="D48" i="337"/>
  <c r="I30" i="337"/>
  <c r="G33" i="337"/>
  <c r="H33" i="337"/>
  <c r="D33" i="337"/>
  <c r="F18" i="337"/>
  <c r="I15" i="337"/>
  <c r="G18" i="337"/>
  <c r="E18" i="337"/>
  <c r="B59" i="86"/>
  <c r="H11" i="88"/>
  <c r="D15" i="88"/>
  <c r="R3" i="233"/>
  <c r="J3" i="233"/>
  <c r="J3" i="336"/>
  <c r="J3" i="301"/>
  <c r="A32" i="233"/>
  <c r="A17" i="233"/>
  <c r="A8" i="233"/>
  <c r="K11" i="88"/>
  <c r="I11" i="88"/>
  <c r="E11" i="88"/>
  <c r="C11" i="88"/>
  <c r="E55" i="123"/>
  <c r="E84" i="123" s="1"/>
  <c r="A8" i="294"/>
  <c r="A27" i="294" s="1"/>
  <c r="N3" i="233"/>
  <c r="H3" i="294"/>
  <c r="A3" i="335"/>
  <c r="F2" i="337"/>
  <c r="G3" i="338"/>
  <c r="E15" i="88"/>
  <c r="A16" i="233"/>
  <c r="A18" i="233"/>
  <c r="A33" i="233"/>
  <c r="V3" i="233"/>
  <c r="E2" i="86"/>
  <c r="F2" i="237"/>
  <c r="F2" i="88"/>
  <c r="F2" i="336"/>
  <c r="G2" i="361"/>
  <c r="G2" i="123"/>
  <c r="D2" i="139"/>
  <c r="I21" i="86"/>
  <c r="A15" i="294"/>
  <c r="A34" i="294" s="1"/>
  <c r="A17" i="294"/>
  <c r="A36" i="294" s="1"/>
  <c r="A19" i="294"/>
  <c r="A38" i="294" s="1"/>
  <c r="A25" i="233"/>
  <c r="A7" i="233"/>
  <c r="K30" i="133"/>
  <c r="J30" i="133"/>
  <c r="I30" i="133"/>
  <c r="F30" i="133"/>
  <c r="D30" i="133"/>
  <c r="E30" i="133"/>
  <c r="C30" i="133"/>
  <c r="J14" i="233"/>
  <c r="E14" i="233"/>
  <c r="C14" i="233"/>
  <c r="I14" i="233"/>
  <c r="D14" i="233"/>
  <c r="K14" i="233"/>
  <c r="F14" i="233"/>
  <c r="K12" i="233"/>
  <c r="I12" i="233"/>
  <c r="F12" i="233"/>
  <c r="D12" i="233"/>
  <c r="J12" i="233"/>
  <c r="E12" i="233"/>
  <c r="C12" i="233"/>
  <c r="J7" i="233"/>
  <c r="E7" i="233"/>
  <c r="C7" i="233"/>
  <c r="K7" i="233"/>
  <c r="I7" i="233"/>
  <c r="F7" i="233"/>
  <c r="H9" i="339"/>
  <c r="H10" i="339"/>
  <c r="B4" i="100"/>
  <c r="X36" i="354"/>
  <c r="B36" i="100"/>
  <c r="B26" i="100"/>
  <c r="B22" i="100"/>
  <c r="B18" i="100"/>
  <c r="B7" i="100"/>
  <c r="B108" i="100"/>
  <c r="B141" i="100"/>
  <c r="B146" i="100"/>
  <c r="B105" i="100"/>
  <c r="J36" i="133"/>
  <c r="K36" i="133"/>
  <c r="I36" i="133"/>
  <c r="C36" i="133"/>
  <c r="E36" i="133"/>
  <c r="F36" i="133"/>
  <c r="D36" i="133"/>
  <c r="I34" i="133"/>
  <c r="K34" i="133"/>
  <c r="J34" i="133"/>
  <c r="E34" i="133"/>
  <c r="C34" i="133"/>
  <c r="D34" i="133"/>
  <c r="F34" i="133"/>
  <c r="K11" i="233"/>
  <c r="I11" i="233"/>
  <c r="F11" i="233"/>
  <c r="D11" i="233"/>
  <c r="J11" i="233"/>
  <c r="E11" i="233"/>
  <c r="C11" i="233"/>
  <c r="J21" i="86"/>
  <c r="E107" i="123"/>
  <c r="G105" i="123"/>
  <c r="J3" i="86"/>
  <c r="K3" i="237"/>
  <c r="L3" i="123"/>
  <c r="I3" i="361"/>
  <c r="F3" i="139"/>
  <c r="L3" i="296"/>
  <c r="D3" i="294"/>
  <c r="F107" i="123"/>
  <c r="E32" i="86"/>
  <c r="G108" i="123" s="1"/>
  <c r="H5" i="339"/>
  <c r="H7" i="339"/>
  <c r="A24" i="233"/>
  <c r="K21" i="86"/>
  <c r="I46" i="133"/>
  <c r="J46" i="133"/>
  <c r="K46" i="133"/>
  <c r="E46" i="133"/>
  <c r="F46" i="133"/>
  <c r="C46" i="133"/>
  <c r="D46" i="133"/>
  <c r="K40" i="133"/>
  <c r="F40" i="133"/>
  <c r="K37" i="133"/>
  <c r="J37" i="133"/>
  <c r="I37" i="133"/>
  <c r="E37" i="133"/>
  <c r="C37" i="133"/>
  <c r="F37" i="133"/>
  <c r="D37" i="133"/>
  <c r="I35" i="133"/>
  <c r="J35" i="133"/>
  <c r="K35" i="133"/>
  <c r="E35" i="133"/>
  <c r="J27" i="233"/>
  <c r="E27" i="233"/>
  <c r="C27" i="233"/>
  <c r="I27" i="233"/>
  <c r="D27" i="233"/>
  <c r="K27" i="233"/>
  <c r="F27" i="233"/>
  <c r="F10" i="233"/>
  <c r="D10" i="233"/>
  <c r="J10" i="233"/>
  <c r="E10" i="233"/>
  <c r="C10" i="233"/>
  <c r="K9" i="233"/>
  <c r="I9" i="233"/>
  <c r="F9" i="233"/>
  <c r="D9" i="233"/>
  <c r="J9" i="233"/>
  <c r="E9" i="233"/>
  <c r="C9" i="233"/>
  <c r="B148" i="100"/>
  <c r="D53" i="86"/>
  <c r="M56" i="338"/>
  <c r="B53" i="86"/>
  <c r="E33" i="337"/>
  <c r="F33" i="337"/>
  <c r="H18" i="337"/>
  <c r="O42" i="139"/>
  <c r="L23" i="139"/>
  <c r="H23" i="139"/>
  <c r="O15" i="139"/>
  <c r="O9" i="139"/>
  <c r="K48" i="337"/>
  <c r="F48" i="337"/>
  <c r="J17" i="337"/>
  <c r="D18" i="337"/>
  <c r="K44" i="139"/>
  <c r="G44" i="139"/>
  <c r="C44" i="139"/>
  <c r="H54" i="294"/>
  <c r="I6" i="133"/>
  <c r="H16" i="133"/>
  <c r="H15" i="133" s="1"/>
  <c r="G9" i="133"/>
  <c r="H20" i="133"/>
  <c r="H19" i="133" s="1"/>
  <c r="E6" i="133"/>
  <c r="C9" i="133"/>
  <c r="J5" i="133"/>
  <c r="K9" i="133"/>
  <c r="K15" i="133"/>
  <c r="F15" i="133"/>
  <c r="K19" i="133"/>
  <c r="G5" i="133"/>
  <c r="D6" i="133"/>
  <c r="D5" i="133" s="1"/>
  <c r="D7" i="233"/>
  <c r="I19" i="133"/>
  <c r="K5" i="133"/>
  <c r="E19" i="133"/>
  <c r="C15" i="133"/>
  <c r="C19" i="133"/>
  <c r="G19" i="133"/>
  <c r="J9" i="133"/>
  <c r="E10" i="133"/>
  <c r="E9" i="133" s="1"/>
  <c r="I10" i="133"/>
  <c r="J15" i="133"/>
  <c r="E16" i="133"/>
  <c r="E15" i="133" s="1"/>
  <c r="I16" i="133"/>
  <c r="J19" i="133"/>
  <c r="G17" i="133"/>
  <c r="G15" i="133" s="1"/>
  <c r="F14" i="133"/>
  <c r="F9" i="133" s="1"/>
  <c r="H12" i="133"/>
  <c r="H9" i="133" s="1"/>
  <c r="D12" i="133"/>
  <c r="M42" i="123"/>
  <c r="K42" i="123"/>
  <c r="E42" i="123"/>
  <c r="L42" i="123"/>
  <c r="L36" i="338"/>
  <c r="G36" i="338"/>
  <c r="E36" i="338"/>
  <c r="M36" i="338"/>
  <c r="K36" i="338"/>
  <c r="F36" i="338"/>
  <c r="D36" i="338"/>
  <c r="J9" i="86"/>
  <c r="K9" i="86"/>
  <c r="I9" i="86"/>
  <c r="A31" i="233"/>
  <c r="A13" i="233"/>
  <c r="A12" i="294"/>
  <c r="A31" i="294" s="1"/>
  <c r="A11" i="233"/>
  <c r="A29" i="233"/>
  <c r="A27" i="233"/>
  <c r="A9" i="233"/>
  <c r="C19" i="294"/>
  <c r="C18" i="294"/>
  <c r="B104" i="100"/>
  <c r="B19" i="100"/>
  <c r="B15" i="100"/>
  <c r="B2" i="100"/>
  <c r="B3" i="100"/>
  <c r="B37" i="100"/>
  <c r="B29" i="100"/>
  <c r="B27" i="100"/>
  <c r="B25" i="100"/>
  <c r="B23" i="100"/>
  <c r="B21" i="100"/>
  <c r="B17" i="100"/>
  <c r="B6" i="100"/>
  <c r="F19" i="133"/>
  <c r="C5" i="133"/>
  <c r="H5" i="133"/>
  <c r="E34" i="337"/>
  <c r="O44" i="139"/>
  <c r="L14" i="123"/>
  <c r="J42" i="123"/>
  <c r="H42" i="123"/>
  <c r="F42" i="123"/>
  <c r="O21" i="139"/>
  <c r="O23" i="139" s="1"/>
  <c r="L74" i="338"/>
  <c r="J74" i="338"/>
  <c r="J17" i="338"/>
  <c r="F17" i="338"/>
  <c r="K74" i="338"/>
  <c r="B151" i="100"/>
  <c r="A1" i="296" s="1"/>
  <c r="B149" i="100"/>
  <c r="A1" i="294" s="1"/>
  <c r="B147" i="100"/>
  <c r="B145" i="100"/>
  <c r="B142" i="100"/>
  <c r="A1" i="301" s="1"/>
  <c r="B140" i="100"/>
  <c r="B137" i="100"/>
  <c r="B106" i="100"/>
  <c r="F5" i="133"/>
  <c r="B100" i="100"/>
  <c r="A1" i="86" s="1"/>
  <c r="B101" i="100"/>
  <c r="A1" i="133" s="1"/>
  <c r="D19" i="133"/>
  <c r="D15" i="133"/>
  <c r="D9" i="133"/>
  <c r="E5" i="133"/>
  <c r="H56" i="338"/>
  <c r="H54" i="338" s="1"/>
  <c r="H53" i="338" s="1"/>
  <c r="L56" i="338"/>
  <c r="I56" i="338"/>
  <c r="I54" i="338" s="1"/>
  <c r="I53" i="338" s="1"/>
  <c r="G42" i="123"/>
  <c r="H74" i="338"/>
  <c r="K17" i="338"/>
  <c r="G17" i="338"/>
  <c r="J20" i="348"/>
  <c r="G56" i="338"/>
  <c r="G54" i="338" s="1"/>
  <c r="G53" i="338" s="1"/>
  <c r="E56" i="338"/>
  <c r="E54" i="338" s="1"/>
  <c r="E53" i="338" s="1"/>
  <c r="J54" i="348"/>
  <c r="D26" i="338"/>
  <c r="D23" i="338" s="1"/>
  <c r="D70" i="338"/>
  <c r="B138" i="100"/>
  <c r="B136" i="100"/>
  <c r="B112" i="100"/>
  <c r="B109" i="100"/>
  <c r="B107" i="100"/>
  <c r="A1" i="237" s="1"/>
  <c r="B102" i="100"/>
  <c r="A1" i="233" s="1"/>
  <c r="I70" i="338"/>
  <c r="F70" i="338"/>
  <c r="J49" i="338"/>
  <c r="I42" i="123"/>
  <c r="A1" i="355"/>
  <c r="A2" i="338"/>
  <c r="A1" i="250"/>
  <c r="A1" i="148"/>
  <c r="A1" i="337"/>
  <c r="A1" i="123"/>
  <c r="A1" i="361"/>
  <c r="A1" i="336"/>
  <c r="B4" i="355"/>
  <c r="A1" i="338"/>
  <c r="A1" i="139"/>
  <c r="A1" i="335"/>
  <c r="A1" i="360"/>
  <c r="A1" i="88"/>
  <c r="D48" i="123" l="1"/>
  <c r="J5" i="86"/>
  <c r="A13" i="294"/>
  <c r="A32" i="294" s="1"/>
  <c r="E15" i="123"/>
  <c r="A9" i="294"/>
  <c r="A28" i="294" s="1"/>
  <c r="K10" i="233"/>
  <c r="C25" i="133"/>
  <c r="E31" i="133"/>
  <c r="K31" i="133"/>
  <c r="J31" i="133"/>
  <c r="I31" i="133"/>
  <c r="H38" i="86"/>
  <c r="C13" i="88"/>
  <c r="C6" i="294"/>
  <c r="J37" i="86"/>
  <c r="E2" i="123"/>
  <c r="C2" i="86"/>
  <c r="C31" i="133"/>
  <c r="D40" i="133"/>
  <c r="J77" i="348"/>
  <c r="I10" i="233"/>
  <c r="E25" i="133"/>
  <c r="C35" i="86"/>
  <c r="D13" i="88"/>
  <c r="D14" i="88"/>
  <c r="I38" i="86"/>
  <c r="M70" i="338"/>
  <c r="M26" i="338"/>
  <c r="M23" i="338" s="1"/>
  <c r="C38" i="86"/>
  <c r="B35" i="86"/>
  <c r="C14" i="88"/>
  <c r="B16" i="86"/>
  <c r="C27" i="86"/>
  <c r="E112" i="123" s="1"/>
  <c r="D27" i="86"/>
  <c r="F112" i="123" s="1"/>
  <c r="I27" i="86"/>
  <c r="K112" i="123" s="1"/>
  <c r="G27" i="86"/>
  <c r="I112" i="123" s="1"/>
  <c r="F27" i="86"/>
  <c r="H112" i="123" s="1"/>
  <c r="B27" i="86"/>
  <c r="D112" i="123" s="1"/>
  <c r="E27" i="86"/>
  <c r="G112" i="123" s="1"/>
  <c r="E70" i="338"/>
  <c r="G70" i="338"/>
  <c r="G26" i="338"/>
  <c r="G23" i="338" s="1"/>
  <c r="A5" i="294"/>
  <c r="A24" i="294" s="1"/>
  <c r="D35" i="133"/>
  <c r="C7" i="294"/>
  <c r="J67" i="338"/>
  <c r="H34" i="337"/>
  <c r="D2" i="237"/>
  <c r="A11" i="294"/>
  <c r="A30" i="294" s="1"/>
  <c r="D2" i="301"/>
  <c r="D2" i="336"/>
  <c r="D2" i="88"/>
  <c r="I5" i="133"/>
  <c r="L45" i="123"/>
  <c r="J40" i="133"/>
  <c r="F31" i="133"/>
  <c r="E8" i="294"/>
  <c r="E13" i="294"/>
  <c r="E17" i="294"/>
  <c r="E11" i="294"/>
  <c r="E19" i="294"/>
  <c r="H9" i="233"/>
  <c r="G9" i="233"/>
  <c r="H10" i="233"/>
  <c r="G10" i="233"/>
  <c r="H27" i="233"/>
  <c r="G27" i="233"/>
  <c r="H35" i="133"/>
  <c r="G35" i="133"/>
  <c r="H40" i="133"/>
  <c r="G40" i="133"/>
  <c r="H46" i="133"/>
  <c r="G46" i="133"/>
  <c r="C10" i="294"/>
  <c r="I67" i="338"/>
  <c r="H6" i="233"/>
  <c r="G6" i="233"/>
  <c r="F26" i="233"/>
  <c r="H11" i="233"/>
  <c r="G11" i="233"/>
  <c r="H34" i="133"/>
  <c r="G34" i="133"/>
  <c r="H44" i="133"/>
  <c r="G44" i="133"/>
  <c r="H47" i="133"/>
  <c r="G47" i="133"/>
  <c r="H2" i="139"/>
  <c r="F3" i="294"/>
  <c r="L3" i="233"/>
  <c r="T3" i="233"/>
  <c r="H7" i="233"/>
  <c r="G7" i="233"/>
  <c r="J30" i="233"/>
  <c r="E30" i="233"/>
  <c r="C30" i="233"/>
  <c r="I30" i="233"/>
  <c r="D30" i="233"/>
  <c r="K30" i="233"/>
  <c r="F30" i="233"/>
  <c r="H30" i="133"/>
  <c r="G30" i="133"/>
  <c r="H45" i="133"/>
  <c r="G45" i="133"/>
  <c r="D6" i="233"/>
  <c r="I6" i="233"/>
  <c r="C6" i="233"/>
  <c r="D8" i="233"/>
  <c r="J8" i="233"/>
  <c r="E8" i="233"/>
  <c r="I8" i="233"/>
  <c r="E13" i="233"/>
  <c r="J13" i="233"/>
  <c r="F13" i="233"/>
  <c r="K13" i="233"/>
  <c r="E41" i="133"/>
  <c r="C41" i="133"/>
  <c r="I41" i="133"/>
  <c r="J41" i="133"/>
  <c r="D44" i="133"/>
  <c r="J44" i="133"/>
  <c r="K44" i="133"/>
  <c r="E47" i="133"/>
  <c r="K47" i="133"/>
  <c r="I47" i="133"/>
  <c r="E45" i="133"/>
  <c r="K45" i="133"/>
  <c r="I45" i="133"/>
  <c r="I17" i="337"/>
  <c r="J18" i="337"/>
  <c r="K18" i="337"/>
  <c r="E6" i="294"/>
  <c r="E7" i="294"/>
  <c r="E9" i="294"/>
  <c r="E10" i="294"/>
  <c r="E15" i="294"/>
  <c r="E18" i="294"/>
  <c r="H31" i="133"/>
  <c r="G31" i="133"/>
  <c r="H37" i="133"/>
  <c r="G37" i="133"/>
  <c r="E12" i="294"/>
  <c r="E14" i="294"/>
  <c r="E16" i="294"/>
  <c r="J32" i="233"/>
  <c r="E32" i="233"/>
  <c r="C32" i="233"/>
  <c r="I32" i="233"/>
  <c r="D32" i="233"/>
  <c r="K32" i="233"/>
  <c r="F32" i="233"/>
  <c r="G109" i="123"/>
  <c r="G110" i="123"/>
  <c r="G67" i="338"/>
  <c r="C9" i="294"/>
  <c r="C11" i="294"/>
  <c r="C12" i="294"/>
  <c r="C13" i="294"/>
  <c r="C14" i="294"/>
  <c r="C15" i="294"/>
  <c r="C16" i="294"/>
  <c r="C17" i="294"/>
  <c r="H8" i="233"/>
  <c r="G8" i="233"/>
  <c r="J29" i="233"/>
  <c r="E29" i="233"/>
  <c r="C29" i="233"/>
  <c r="I29" i="233"/>
  <c r="D29" i="233"/>
  <c r="K29" i="233"/>
  <c r="F29" i="233"/>
  <c r="H13" i="233"/>
  <c r="G13" i="233"/>
  <c r="H36" i="133"/>
  <c r="G36" i="133"/>
  <c r="H41" i="133"/>
  <c r="G41" i="133"/>
  <c r="K2" i="296"/>
  <c r="I2" i="301"/>
  <c r="I2" i="336"/>
  <c r="I2" i="337"/>
  <c r="J2" i="237"/>
  <c r="I2" i="86"/>
  <c r="I2" i="133"/>
  <c r="K3" i="338"/>
  <c r="C2" i="294"/>
  <c r="E2" i="139"/>
  <c r="H2" i="361"/>
  <c r="K2" i="123"/>
  <c r="J2" i="88"/>
  <c r="I2" i="233"/>
  <c r="B50" i="100"/>
  <c r="L2" i="139"/>
  <c r="P3" i="233"/>
  <c r="C2" i="301"/>
  <c r="C2" i="336"/>
  <c r="C2" i="337"/>
  <c r="B2" i="86"/>
  <c r="C2" i="233"/>
  <c r="C2" i="237"/>
  <c r="D3" i="338"/>
  <c r="D2" i="123"/>
  <c r="D2" i="361"/>
  <c r="C2" i="88"/>
  <c r="C2" i="133"/>
  <c r="J25" i="233"/>
  <c r="E25" i="233"/>
  <c r="C25" i="233"/>
  <c r="I25" i="233"/>
  <c r="D25" i="233"/>
  <c r="K25" i="233"/>
  <c r="F25" i="233"/>
  <c r="H12" i="233"/>
  <c r="G12" i="233"/>
  <c r="H14" i="233"/>
  <c r="G14" i="233"/>
  <c r="G57" i="123"/>
  <c r="G25" i="133"/>
  <c r="F34" i="337"/>
  <c r="G34" i="337"/>
  <c r="D31" i="133"/>
  <c r="C35" i="133"/>
  <c r="F35" i="133"/>
  <c r="E40" i="133"/>
  <c r="C40" i="133"/>
  <c r="I40" i="133"/>
  <c r="F6" i="233"/>
  <c r="K6" i="233"/>
  <c r="E6" i="233"/>
  <c r="J6" i="233"/>
  <c r="F8" i="233"/>
  <c r="C8" i="233"/>
  <c r="K8" i="233"/>
  <c r="C13" i="233"/>
  <c r="D13" i="233"/>
  <c r="I13" i="233"/>
  <c r="C26" i="233"/>
  <c r="F41" i="133"/>
  <c r="D41" i="133"/>
  <c r="K41" i="133"/>
  <c r="E44" i="133"/>
  <c r="C44" i="133"/>
  <c r="F44" i="133"/>
  <c r="I44" i="133"/>
  <c r="C47" i="133"/>
  <c r="F47" i="133"/>
  <c r="D47" i="133"/>
  <c r="J47" i="133"/>
  <c r="F24" i="233"/>
  <c r="C45" i="133"/>
  <c r="F45" i="133"/>
  <c r="D45" i="133"/>
  <c r="J45" i="133"/>
  <c r="H25" i="133"/>
  <c r="D25" i="133"/>
  <c r="F25" i="133"/>
  <c r="I9" i="133"/>
  <c r="J25" i="133"/>
  <c r="I15" i="133"/>
  <c r="K25" i="133"/>
  <c r="F46" i="123"/>
  <c r="H36" i="338"/>
  <c r="F98" i="123"/>
  <c r="L98" i="123"/>
  <c r="E98" i="123"/>
  <c r="K98" i="123"/>
  <c r="G40" i="338"/>
  <c r="E17" i="86"/>
  <c r="K17" i="86"/>
  <c r="M40" i="338"/>
  <c r="F40" i="338"/>
  <c r="D17" i="86"/>
  <c r="L40" i="338"/>
  <c r="J17" i="86"/>
  <c r="H98" i="123"/>
  <c r="G98" i="123"/>
  <c r="M98" i="123"/>
  <c r="E40" i="338"/>
  <c r="C17" i="86"/>
  <c r="I17" i="86"/>
  <c r="K40" i="338"/>
  <c r="D40" i="338"/>
  <c r="B17" i="86"/>
  <c r="H45" i="123"/>
  <c r="I92" i="123"/>
  <c r="E92" i="123"/>
  <c r="J92" i="123"/>
  <c r="G5" i="86"/>
  <c r="I45" i="123"/>
  <c r="B5" i="86"/>
  <c r="D45" i="123"/>
  <c r="D14" i="294"/>
  <c r="D17" i="294"/>
  <c r="D10" i="294"/>
  <c r="D12" i="294"/>
  <c r="D19" i="294"/>
  <c r="D9" i="294"/>
  <c r="J70" i="338"/>
  <c r="J26" i="338"/>
  <c r="J23" i="338" s="1"/>
  <c r="D7" i="294"/>
  <c r="D15" i="294"/>
  <c r="M3" i="296"/>
  <c r="E3" i="294"/>
  <c r="G3" i="139"/>
  <c r="L3" i="337"/>
  <c r="K3" i="336"/>
  <c r="L3" i="88"/>
  <c r="K3" i="86"/>
  <c r="K3" i="133"/>
  <c r="L3" i="237"/>
  <c r="M4" i="338"/>
  <c r="K3" i="301"/>
  <c r="J3" i="361"/>
  <c r="M3" i="123"/>
  <c r="K3" i="233"/>
  <c r="Q3" i="233"/>
  <c r="M2" i="139"/>
  <c r="U3" i="233"/>
  <c r="D11" i="294"/>
  <c r="K3" i="296"/>
  <c r="I3" i="301"/>
  <c r="C3" i="294"/>
  <c r="I2" i="148"/>
  <c r="A3" i="360"/>
  <c r="H3" i="361"/>
  <c r="K3" i="123"/>
  <c r="J3" i="88"/>
  <c r="I3" i="233"/>
  <c r="K4" i="338"/>
  <c r="E3" i="139"/>
  <c r="I3" i="337"/>
  <c r="J3" i="337"/>
  <c r="I3" i="336"/>
  <c r="I3" i="86"/>
  <c r="I3" i="133"/>
  <c r="J3" i="237"/>
  <c r="E5" i="294"/>
  <c r="E21" i="294" s="1"/>
  <c r="K43" i="86"/>
  <c r="K26" i="338"/>
  <c r="K23" i="338" s="1"/>
  <c r="K70" i="338"/>
  <c r="L70" i="338"/>
  <c r="L26" i="338"/>
  <c r="L23" i="338" s="1"/>
  <c r="B55" i="86"/>
  <c r="D113" i="123" s="1"/>
  <c r="D58" i="123"/>
  <c r="M58" i="123"/>
  <c r="K55" i="86"/>
  <c r="D16" i="294"/>
  <c r="F55" i="86"/>
  <c r="H58" i="123"/>
  <c r="C53" i="86"/>
  <c r="D6" i="294"/>
  <c r="D8" i="294"/>
  <c r="D13" i="294"/>
  <c r="K2" i="139"/>
  <c r="O3" i="233"/>
  <c r="S3" i="233"/>
  <c r="W3" i="233"/>
  <c r="E3" i="338"/>
  <c r="E2" i="361"/>
  <c r="D2" i="337"/>
  <c r="D2" i="133"/>
  <c r="D2" i="233"/>
  <c r="D18" i="294"/>
  <c r="E2" i="133"/>
  <c r="F3" i="338"/>
  <c r="E2" i="301"/>
  <c r="F2" i="361"/>
  <c r="F2" i="123"/>
  <c r="E2" i="88"/>
  <c r="D2" i="86"/>
  <c r="E2" i="237"/>
  <c r="C2" i="148"/>
  <c r="E2" i="336"/>
  <c r="E2" i="337"/>
  <c r="E2" i="233"/>
  <c r="I2" i="139"/>
  <c r="M3" i="233"/>
  <c r="G3" i="294"/>
  <c r="K58" i="123"/>
  <c r="I55" i="86"/>
  <c r="L58" i="123"/>
  <c r="J55" i="86"/>
  <c r="E56" i="86"/>
  <c r="E17" i="123"/>
  <c r="E101" i="123"/>
  <c r="C56" i="86"/>
  <c r="D55" i="86"/>
  <c r="F58" i="123"/>
  <c r="E55" i="86"/>
  <c r="G58" i="123"/>
  <c r="J56" i="86"/>
  <c r="G56" i="86"/>
  <c r="H70" i="338"/>
  <c r="H26" i="338"/>
  <c r="H23" i="338" s="1"/>
  <c r="J56" i="338"/>
  <c r="J54" i="338" s="1"/>
  <c r="J53" i="338" s="1"/>
  <c r="K56" i="338"/>
  <c r="F12" i="123"/>
  <c r="F57" i="123"/>
  <c r="E44" i="88"/>
  <c r="E9" i="88" s="1"/>
  <c r="F52" i="123"/>
  <c r="F13" i="123" s="1"/>
  <c r="F122" i="123" s="1"/>
  <c r="J12" i="123"/>
  <c r="J57" i="123"/>
  <c r="J18" i="123" s="1"/>
  <c r="I44" i="88"/>
  <c r="I9" i="88" s="1"/>
  <c r="J52" i="123"/>
  <c r="J13" i="123" s="1"/>
  <c r="J122" i="123" s="1"/>
  <c r="F56" i="86"/>
  <c r="E102" i="123"/>
  <c r="E58" i="123"/>
  <c r="C55" i="86"/>
  <c r="I56" i="86"/>
  <c r="H56" i="86"/>
  <c r="H12" i="123"/>
  <c r="G44" i="88"/>
  <c r="H52" i="123"/>
  <c r="H13" i="123" s="1"/>
  <c r="H122" i="123" s="1"/>
  <c r="H57" i="123"/>
  <c r="E57" i="123"/>
  <c r="D44" i="88"/>
  <c r="D9" i="88" s="1"/>
  <c r="E12" i="123"/>
  <c r="E52" i="123"/>
  <c r="E13" i="123" s="1"/>
  <c r="E122" i="123" s="1"/>
  <c r="D101" i="123"/>
  <c r="B56" i="86"/>
  <c r="D102" i="123"/>
  <c r="D17" i="123"/>
  <c r="K56" i="86"/>
  <c r="H55" i="86"/>
  <c r="I58" i="123"/>
  <c r="G55" i="86"/>
  <c r="F17" i="123"/>
  <c r="F101" i="123"/>
  <c r="D56" i="86"/>
  <c r="F102" i="123"/>
  <c r="I57" i="123"/>
  <c r="H44" i="88"/>
  <c r="H9" i="88" s="1"/>
  <c r="I12" i="123"/>
  <c r="I52" i="123"/>
  <c r="I13" i="123" s="1"/>
  <c r="I122" i="123" s="1"/>
  <c r="C4" i="355"/>
  <c r="B8" i="355"/>
  <c r="F47" i="123" l="1"/>
  <c r="E93" i="123"/>
  <c r="H48" i="123"/>
  <c r="H49" i="123"/>
  <c r="L49" i="123"/>
  <c r="F48" i="123"/>
  <c r="H92" i="123"/>
  <c r="G48" i="123"/>
  <c r="H47" i="123"/>
  <c r="E49" i="123"/>
  <c r="E48" i="123"/>
  <c r="E40" i="123" s="1"/>
  <c r="E13" i="86"/>
  <c r="K48" i="123"/>
  <c r="L92" i="123"/>
  <c r="E45" i="123"/>
  <c r="D47" i="123"/>
  <c r="K47" i="123"/>
  <c r="H5" i="86"/>
  <c r="E37" i="123"/>
  <c r="G49" i="123"/>
  <c r="D49" i="123"/>
  <c r="G47" i="123"/>
  <c r="F49" i="123"/>
  <c r="K46" i="123"/>
  <c r="E47" i="123"/>
  <c r="D46" i="123"/>
  <c r="F5" i="86"/>
  <c r="L47" i="123"/>
  <c r="F44" i="88"/>
  <c r="F9" i="88" s="1"/>
  <c r="M54" i="338"/>
  <c r="M53" i="338" s="1"/>
  <c r="C24" i="233"/>
  <c r="F28" i="233"/>
  <c r="D28" i="233"/>
  <c r="C28" i="233"/>
  <c r="K26" i="233"/>
  <c r="E26" i="233"/>
  <c r="J26" i="233"/>
  <c r="F40" i="123"/>
  <c r="D26" i="233"/>
  <c r="D24" i="233"/>
  <c r="J45" i="123"/>
  <c r="C5" i="86"/>
  <c r="F92" i="123"/>
  <c r="H24" i="233"/>
  <c r="I28" i="233"/>
  <c r="E28" i="233"/>
  <c r="J28" i="233"/>
  <c r="G26" i="233"/>
  <c r="K92" i="123"/>
  <c r="I5" i="86"/>
  <c r="K45" i="123"/>
  <c r="I26" i="233"/>
  <c r="M50" i="338"/>
  <c r="M49" i="338" s="1"/>
  <c r="L50" i="338"/>
  <c r="L49" i="338" s="1"/>
  <c r="D12" i="123"/>
  <c r="L46" i="123"/>
  <c r="L38" i="123" s="1"/>
  <c r="H27" i="86"/>
  <c r="J112" i="123" s="1"/>
  <c r="G15" i="123"/>
  <c r="G55" i="123"/>
  <c r="F35" i="237"/>
  <c r="F55" i="123"/>
  <c r="F84" i="123" s="1"/>
  <c r="F15" i="123"/>
  <c r="E35" i="237"/>
  <c r="F50" i="338"/>
  <c r="F49" i="338" s="1"/>
  <c r="E50" i="338"/>
  <c r="E49" i="338" s="1"/>
  <c r="D50" i="338"/>
  <c r="D49" i="338" s="1"/>
  <c r="D31" i="86"/>
  <c r="C31" i="86"/>
  <c r="I31" i="86"/>
  <c r="H31" i="86"/>
  <c r="G31" i="86"/>
  <c r="F31" i="86"/>
  <c r="D57" i="123"/>
  <c r="C44" i="88"/>
  <c r="C9" i="88" s="1"/>
  <c r="D52" i="123"/>
  <c r="D13" i="123" s="1"/>
  <c r="D122" i="123" s="1"/>
  <c r="B31" i="86"/>
  <c r="G52" i="123"/>
  <c r="G13" i="123" s="1"/>
  <c r="G122" i="123" s="1"/>
  <c r="H61" i="338"/>
  <c r="G45" i="88"/>
  <c r="G9" i="88"/>
  <c r="A18" i="294"/>
  <c r="A37" i="294" s="1"/>
  <c r="K76" i="338"/>
  <c r="K54" i="123"/>
  <c r="D34" i="88"/>
  <c r="K40" i="123"/>
  <c r="L48" i="123"/>
  <c r="L40" i="123" s="1"/>
  <c r="G39" i="123"/>
  <c r="L93" i="123"/>
  <c r="G18" i="123"/>
  <c r="F18" i="123"/>
  <c r="G28" i="233"/>
  <c r="K28" i="233"/>
  <c r="D57" i="133"/>
  <c r="E54" i="123"/>
  <c r="E10" i="123" s="1"/>
  <c r="D36" i="237" s="1"/>
  <c r="D29" i="237" s="1"/>
  <c r="D32" i="237" s="1"/>
  <c r="D14" i="237" s="1"/>
  <c r="D18" i="237" s="1"/>
  <c r="E76" i="338"/>
  <c r="E71" i="338" s="1"/>
  <c r="E72" i="338" s="1"/>
  <c r="E13" i="338" s="1"/>
  <c r="H41" i="123"/>
  <c r="F41" i="123"/>
  <c r="G24" i="233"/>
  <c r="H26" i="233"/>
  <c r="K24" i="233"/>
  <c r="I24" i="233"/>
  <c r="E24" i="233"/>
  <c r="J24" i="233"/>
  <c r="J43" i="133"/>
  <c r="F43" i="133"/>
  <c r="F42" i="133" s="1"/>
  <c r="K39" i="133"/>
  <c r="D39" i="133"/>
  <c r="D38" i="133" s="1"/>
  <c r="J29" i="133"/>
  <c r="E29" i="133"/>
  <c r="E28" i="133" s="1"/>
  <c r="E5" i="233"/>
  <c r="D5" i="233"/>
  <c r="K33" i="133"/>
  <c r="E33" i="133"/>
  <c r="E32" i="133" s="1"/>
  <c r="H29" i="133"/>
  <c r="H28" i="133" s="1"/>
  <c r="H29" i="233"/>
  <c r="G29" i="233"/>
  <c r="A6" i="294"/>
  <c r="A25" i="294" s="1"/>
  <c r="H32" i="233"/>
  <c r="G32" i="233"/>
  <c r="I43" i="133"/>
  <c r="E43" i="133"/>
  <c r="E42" i="133" s="1"/>
  <c r="I39" i="133"/>
  <c r="I29" i="133"/>
  <c r="F29" i="133"/>
  <c r="F28" i="133" s="1"/>
  <c r="K5" i="233"/>
  <c r="F5" i="233"/>
  <c r="J33" i="133"/>
  <c r="H43" i="133"/>
  <c r="H42" i="133" s="1"/>
  <c r="H39" i="133"/>
  <c r="H38" i="133" s="1"/>
  <c r="H5" i="233"/>
  <c r="H33" i="133"/>
  <c r="H32" i="133" s="1"/>
  <c r="A7" i="294"/>
  <c r="A26" i="294" s="1"/>
  <c r="C8" i="294"/>
  <c r="C21" i="294" s="1"/>
  <c r="I43" i="86"/>
  <c r="H18" i="123"/>
  <c r="D18" i="123"/>
  <c r="G12" i="123"/>
  <c r="E17" i="88"/>
  <c r="E18" i="88"/>
  <c r="J6" i="86"/>
  <c r="J10" i="86" s="1"/>
  <c r="L127" i="123" s="1"/>
  <c r="L54" i="123"/>
  <c r="H28" i="233"/>
  <c r="K31" i="233"/>
  <c r="I31" i="233"/>
  <c r="E31" i="233"/>
  <c r="J31" i="233"/>
  <c r="D43" i="133"/>
  <c r="D42" i="133" s="1"/>
  <c r="C43" i="133"/>
  <c r="C42" i="133" s="1"/>
  <c r="F39" i="133"/>
  <c r="F38" i="133" s="1"/>
  <c r="C39" i="133"/>
  <c r="C38" i="133" s="1"/>
  <c r="D29" i="133"/>
  <c r="D28" i="133" s="1"/>
  <c r="I5" i="233"/>
  <c r="J5" i="233"/>
  <c r="D33" i="133"/>
  <c r="D32" i="133" s="1"/>
  <c r="C33" i="133"/>
  <c r="C32" i="133" s="1"/>
  <c r="G29" i="133"/>
  <c r="G28" i="133" s="1"/>
  <c r="H25" i="233"/>
  <c r="G25" i="233"/>
  <c r="G5" i="123"/>
  <c r="F5" i="237"/>
  <c r="F23" i="88"/>
  <c r="E45" i="86"/>
  <c r="K43" i="133"/>
  <c r="J39" i="133"/>
  <c r="E39" i="133"/>
  <c r="E38" i="133" s="1"/>
  <c r="K29" i="133"/>
  <c r="C29" i="133"/>
  <c r="C28" i="133" s="1"/>
  <c r="C48" i="133" s="1"/>
  <c r="C49" i="133" s="1"/>
  <c r="C5" i="233"/>
  <c r="I33" i="133"/>
  <c r="F33" i="133"/>
  <c r="F32" i="133" s="1"/>
  <c r="G43" i="133"/>
  <c r="G42" i="133" s="1"/>
  <c r="G39" i="133"/>
  <c r="G38" i="133" s="1"/>
  <c r="H30" i="233"/>
  <c r="G30" i="233"/>
  <c r="G5" i="233"/>
  <c r="G33" i="133"/>
  <c r="G32" i="133" s="1"/>
  <c r="H31" i="233"/>
  <c r="G31" i="233"/>
  <c r="F31" i="233"/>
  <c r="D31" i="233"/>
  <c r="C31" i="233"/>
  <c r="I25" i="133"/>
  <c r="I37" i="123"/>
  <c r="D76" i="338"/>
  <c r="D71" i="338" s="1"/>
  <c r="D72" i="338" s="1"/>
  <c r="D13" i="338" s="1"/>
  <c r="E78" i="338"/>
  <c r="J33" i="88"/>
  <c r="C8" i="88"/>
  <c r="E35" i="338"/>
  <c r="E34" i="338" s="1"/>
  <c r="K37" i="123"/>
  <c r="D17" i="88"/>
  <c r="L35" i="338"/>
  <c r="L34" i="338" s="1"/>
  <c r="B6" i="86"/>
  <c r="B10" i="86" s="1"/>
  <c r="F39" i="123"/>
  <c r="M48" i="123"/>
  <c r="D42" i="88"/>
  <c r="L76" i="338"/>
  <c r="L71" i="338" s="1"/>
  <c r="L72" i="338" s="1"/>
  <c r="L13" i="338" s="1"/>
  <c r="D44" i="123"/>
  <c r="M35" i="338"/>
  <c r="M34" i="338" s="1"/>
  <c r="G35" i="338"/>
  <c r="G34" i="338" s="1"/>
  <c r="M47" i="123"/>
  <c r="M39" i="123" s="1"/>
  <c r="B13" i="86"/>
  <c r="C13" i="86"/>
  <c r="K15" i="86"/>
  <c r="M38" i="338"/>
  <c r="M37" i="338" s="1"/>
  <c r="G38" i="338"/>
  <c r="G37" i="338" s="1"/>
  <c r="E15" i="86"/>
  <c r="H38" i="338"/>
  <c r="F15" i="86"/>
  <c r="I98" i="123"/>
  <c r="D35" i="338"/>
  <c r="D34" i="338" s="1"/>
  <c r="D38" i="338"/>
  <c r="D37" i="338" s="1"/>
  <c r="B15" i="86"/>
  <c r="F35" i="338"/>
  <c r="F34" i="338" s="1"/>
  <c r="M45" i="123"/>
  <c r="M92" i="123"/>
  <c r="M54" i="123"/>
  <c r="K5" i="86"/>
  <c r="M76" i="338"/>
  <c r="M71" i="338" s="1"/>
  <c r="I13" i="86"/>
  <c r="J13" i="86"/>
  <c r="G54" i="123"/>
  <c r="G10" i="123" s="1"/>
  <c r="F34" i="88"/>
  <c r="G17" i="88"/>
  <c r="G76" i="338"/>
  <c r="G71" i="338" s="1"/>
  <c r="G45" i="123"/>
  <c r="H37" i="123" s="1"/>
  <c r="E5" i="86"/>
  <c r="G18" i="88"/>
  <c r="G92" i="123"/>
  <c r="G46" i="123"/>
  <c r="G38" i="123" s="1"/>
  <c r="G93" i="123"/>
  <c r="E6" i="86"/>
  <c r="H40" i="338"/>
  <c r="F17" i="86"/>
  <c r="K39" i="123"/>
  <c r="H39" i="123"/>
  <c r="F13" i="86"/>
  <c r="K35" i="338"/>
  <c r="K34" i="338" s="1"/>
  <c r="D5" i="86"/>
  <c r="F45" i="123"/>
  <c r="F17" i="88"/>
  <c r="F76" i="338"/>
  <c r="F71" i="338" s="1"/>
  <c r="F72" i="338" s="1"/>
  <c r="F13" i="338" s="1"/>
  <c r="F18" i="88"/>
  <c r="F54" i="123"/>
  <c r="F10" i="123" s="1"/>
  <c r="E34" i="88"/>
  <c r="K6" i="86"/>
  <c r="M46" i="123"/>
  <c r="M93" i="123"/>
  <c r="M49" i="123"/>
  <c r="M41" i="123" s="1"/>
  <c r="D13" i="86"/>
  <c r="I15" i="86"/>
  <c r="K38" i="338"/>
  <c r="K37" i="338" s="1"/>
  <c r="K58" i="338" s="1"/>
  <c r="E38" i="338"/>
  <c r="C15" i="86"/>
  <c r="L38" i="338"/>
  <c r="J15" i="86"/>
  <c r="F38" i="338"/>
  <c r="F37" i="338" s="1"/>
  <c r="D15" i="86"/>
  <c r="H35" i="338"/>
  <c r="H34" i="338" s="1"/>
  <c r="J29" i="88"/>
  <c r="D54" i="123"/>
  <c r="D10" i="123" s="1"/>
  <c r="D116" i="123" s="1"/>
  <c r="D18" i="88"/>
  <c r="C34" i="88"/>
  <c r="G41" i="123"/>
  <c r="G40" i="123"/>
  <c r="E41" i="123"/>
  <c r="H40" i="123"/>
  <c r="D6" i="86"/>
  <c r="I6" i="86"/>
  <c r="K49" i="123"/>
  <c r="K44" i="123" s="1"/>
  <c r="K13" i="86"/>
  <c r="E46" i="123"/>
  <c r="C6" i="86"/>
  <c r="C10" i="86" s="1"/>
  <c r="J36" i="338"/>
  <c r="I36" i="338"/>
  <c r="F93" i="123"/>
  <c r="J31" i="88"/>
  <c r="J30" i="88"/>
  <c r="J8" i="88"/>
  <c r="L37" i="123"/>
  <c r="E16" i="86"/>
  <c r="E116" i="123"/>
  <c r="D43" i="123"/>
  <c r="D11" i="123" s="1"/>
  <c r="D103" i="123" s="1"/>
  <c r="J37" i="123"/>
  <c r="K71" i="338"/>
  <c r="K9" i="338" s="1"/>
  <c r="K8" i="338" s="1"/>
  <c r="J16" i="86"/>
  <c r="F16" i="86"/>
  <c r="D16" i="86"/>
  <c r="C49" i="86"/>
  <c r="K16" i="86"/>
  <c r="G16" i="86"/>
  <c r="C16" i="86"/>
  <c r="H113" i="123"/>
  <c r="M52" i="123"/>
  <c r="M13" i="123" s="1"/>
  <c r="M122" i="123" s="1"/>
  <c r="L44" i="88"/>
  <c r="L9" i="88" s="1"/>
  <c r="M12" i="123"/>
  <c r="M57" i="123"/>
  <c r="M18" i="123" s="1"/>
  <c r="D5" i="294"/>
  <c r="D21" i="294" s="1"/>
  <c r="M113" i="123"/>
  <c r="E54" i="294"/>
  <c r="E60" i="294"/>
  <c r="G113" i="123"/>
  <c r="G114" i="123"/>
  <c r="L113" i="123"/>
  <c r="F113" i="123"/>
  <c r="K113" i="123"/>
  <c r="E113" i="123"/>
  <c r="I18" i="123"/>
  <c r="I113" i="123"/>
  <c r="J113" i="123"/>
  <c r="E18" i="123"/>
  <c r="E39" i="123" l="1"/>
  <c r="J49" i="123"/>
  <c r="J48" i="123"/>
  <c r="H13" i="86"/>
  <c r="I47" i="123"/>
  <c r="I39" i="123" s="1"/>
  <c r="L39" i="123"/>
  <c r="I49" i="123"/>
  <c r="I41" i="123" s="1"/>
  <c r="I48" i="123"/>
  <c r="I40" i="123" s="1"/>
  <c r="J47" i="123"/>
  <c r="J43" i="86"/>
  <c r="L54" i="338"/>
  <c r="L53" i="338" s="1"/>
  <c r="K54" i="338"/>
  <c r="K53" i="338" s="1"/>
  <c r="D30" i="88"/>
  <c r="M38" i="123"/>
  <c r="M40" i="123"/>
  <c r="E7" i="88"/>
  <c r="F121" i="123" s="1"/>
  <c r="J28" i="88"/>
  <c r="L42" i="88"/>
  <c r="C11" i="86"/>
  <c r="F42" i="88"/>
  <c r="F35" i="88" s="1"/>
  <c r="G7" i="123" s="1"/>
  <c r="G117" i="123" s="1"/>
  <c r="H20" i="233"/>
  <c r="F20" i="233"/>
  <c r="G20" i="233"/>
  <c r="C20" i="233"/>
  <c r="D20" i="233"/>
  <c r="E20" i="233"/>
  <c r="M53" i="123"/>
  <c r="M10" i="123"/>
  <c r="M116" i="123" s="1"/>
  <c r="I16" i="86"/>
  <c r="K50" i="338"/>
  <c r="K49" i="338" s="1"/>
  <c r="K31" i="88"/>
  <c r="D35" i="86"/>
  <c r="E14" i="88"/>
  <c r="E13" i="88"/>
  <c r="G34" i="88"/>
  <c r="C32" i="86"/>
  <c r="E105" i="123"/>
  <c r="E108" i="123"/>
  <c r="F105" i="123"/>
  <c r="D32" i="86"/>
  <c r="K27" i="86"/>
  <c r="M112" i="123" s="1"/>
  <c r="J27" i="86"/>
  <c r="L112" i="123" s="1"/>
  <c r="I32" i="86"/>
  <c r="K105" i="123"/>
  <c r="K108" i="123"/>
  <c r="J105" i="123"/>
  <c r="H32" i="86"/>
  <c r="J108" i="123" s="1"/>
  <c r="G32" i="86"/>
  <c r="I105" i="123"/>
  <c r="I108" i="123"/>
  <c r="H105" i="123"/>
  <c r="F32" i="86"/>
  <c r="H108" i="123" s="1"/>
  <c r="D105" i="123"/>
  <c r="B32" i="86"/>
  <c r="D108" i="123" s="1"/>
  <c r="G17" i="123"/>
  <c r="G101" i="123"/>
  <c r="F44" i="86"/>
  <c r="L43" i="123"/>
  <c r="L11" i="123" s="1"/>
  <c r="L103" i="123" s="1"/>
  <c r="L44" i="123"/>
  <c r="C29" i="88"/>
  <c r="D29" i="88"/>
  <c r="D33" i="88"/>
  <c r="L86" i="123"/>
  <c r="L130" i="123" s="1"/>
  <c r="C28" i="88"/>
  <c r="D8" i="88"/>
  <c r="D31" i="88"/>
  <c r="D19" i="88"/>
  <c r="L36" i="123"/>
  <c r="L9" i="123" s="1"/>
  <c r="L94" i="123"/>
  <c r="E9" i="338"/>
  <c r="E8" i="338" s="1"/>
  <c r="E31" i="338" s="1"/>
  <c r="E77" i="338" s="1"/>
  <c r="D78" i="338"/>
  <c r="J23" i="233"/>
  <c r="I23" i="233"/>
  <c r="K52" i="123"/>
  <c r="K13" i="123" s="1"/>
  <c r="K122" i="123" s="1"/>
  <c r="K12" i="123"/>
  <c r="K57" i="123"/>
  <c r="K18" i="123" s="1"/>
  <c r="J44" i="88"/>
  <c r="J9" i="88" s="1"/>
  <c r="C54" i="294"/>
  <c r="C60" i="294"/>
  <c r="J32" i="133"/>
  <c r="K20" i="233"/>
  <c r="I28" i="133"/>
  <c r="I38" i="133"/>
  <c r="I42" i="133"/>
  <c r="F48" i="133"/>
  <c r="F49" i="133" s="1"/>
  <c r="D23" i="233"/>
  <c r="H23" i="233"/>
  <c r="I32" i="133"/>
  <c r="K28" i="133"/>
  <c r="J38" i="133"/>
  <c r="K42" i="133"/>
  <c r="C23" i="233"/>
  <c r="F23" i="233"/>
  <c r="G23" i="233"/>
  <c r="J20" i="233"/>
  <c r="I20" i="233"/>
  <c r="E23" i="233"/>
  <c r="K23" i="233"/>
  <c r="K32" i="133"/>
  <c r="J28" i="133"/>
  <c r="K38" i="133"/>
  <c r="J42" i="133"/>
  <c r="G48" i="133"/>
  <c r="G49" i="133" s="1"/>
  <c r="D48" i="133"/>
  <c r="D49" i="133" s="1"/>
  <c r="H48" i="133"/>
  <c r="H49" i="133" s="1"/>
  <c r="E48" i="133"/>
  <c r="E49" i="133" s="1"/>
  <c r="K29" i="88"/>
  <c r="K30" i="88"/>
  <c r="K33" i="88"/>
  <c r="K8" i="88"/>
  <c r="D9" i="338"/>
  <c r="D8" i="338" s="1"/>
  <c r="D31" i="338" s="1"/>
  <c r="J42" i="88"/>
  <c r="E54" i="86"/>
  <c r="C31" i="88"/>
  <c r="K72" i="338"/>
  <c r="K13" i="338" s="1"/>
  <c r="K15" i="338" s="1"/>
  <c r="K14" i="338" s="1"/>
  <c r="K11" i="338" s="1"/>
  <c r="C33" i="88"/>
  <c r="C30" i="88"/>
  <c r="C19" i="88"/>
  <c r="D10" i="86"/>
  <c r="F127" i="123" s="1"/>
  <c r="J39" i="123"/>
  <c r="K42" i="88"/>
  <c r="K28" i="88"/>
  <c r="J11" i="86"/>
  <c r="J18" i="86" s="1"/>
  <c r="C18" i="86"/>
  <c r="E87" i="123" s="1"/>
  <c r="D28" i="88"/>
  <c r="F78" i="338"/>
  <c r="C36" i="237"/>
  <c r="C29" i="237" s="1"/>
  <c r="C32" i="237" s="1"/>
  <c r="C14" i="237" s="1"/>
  <c r="C18" i="237" s="1"/>
  <c r="F9" i="338"/>
  <c r="F8" i="338" s="1"/>
  <c r="F31" i="338" s="1"/>
  <c r="E94" i="123"/>
  <c r="I10" i="86"/>
  <c r="J41" i="123"/>
  <c r="J40" i="123"/>
  <c r="E127" i="123"/>
  <c r="E91" i="123"/>
  <c r="E86" i="123"/>
  <c r="E130" i="123" s="1"/>
  <c r="F38" i="123"/>
  <c r="E44" i="123"/>
  <c r="E36" i="123" s="1"/>
  <c r="E9" i="123" s="1"/>
  <c r="E38" i="123"/>
  <c r="E43" i="123"/>
  <c r="E11" i="123" s="1"/>
  <c r="E103" i="123" s="1"/>
  <c r="K54" i="86"/>
  <c r="H46" i="123"/>
  <c r="F6" i="86"/>
  <c r="K93" i="123"/>
  <c r="H93" i="123"/>
  <c r="G28" i="88"/>
  <c r="H17" i="88"/>
  <c r="H54" i="123"/>
  <c r="H10" i="123" s="1"/>
  <c r="H76" i="338"/>
  <c r="H71" i="338" s="1"/>
  <c r="H18" i="88"/>
  <c r="H42" i="338"/>
  <c r="E19" i="88"/>
  <c r="E8" i="88"/>
  <c r="E31" i="88"/>
  <c r="E29" i="88"/>
  <c r="E33" i="88"/>
  <c r="E30" i="88"/>
  <c r="F37" i="123"/>
  <c r="F43" i="123"/>
  <c r="F11" i="123" s="1"/>
  <c r="F103" i="123" s="1"/>
  <c r="F44" i="123"/>
  <c r="F54" i="86"/>
  <c r="F31" i="88"/>
  <c r="F33" i="88"/>
  <c r="G33" i="88" s="1"/>
  <c r="H33" i="88" s="1"/>
  <c r="F29" i="88"/>
  <c r="F8" i="88"/>
  <c r="F30" i="88"/>
  <c r="F19" i="88"/>
  <c r="G43" i="123"/>
  <c r="G11" i="123" s="1"/>
  <c r="G103" i="123" s="1"/>
  <c r="G44" i="123"/>
  <c r="G37" i="123"/>
  <c r="G116" i="123"/>
  <c r="F36" i="237"/>
  <c r="F29" i="237" s="1"/>
  <c r="F32" i="237" s="1"/>
  <c r="F14" i="237" s="1"/>
  <c r="F18" i="237" s="1"/>
  <c r="L31" i="88"/>
  <c r="L29" i="88"/>
  <c r="L8" i="88"/>
  <c r="L33" i="88"/>
  <c r="L30" i="88"/>
  <c r="F42" i="338"/>
  <c r="F58" i="338"/>
  <c r="B11" i="86"/>
  <c r="C42" i="88"/>
  <c r="G13" i="86"/>
  <c r="I38" i="338"/>
  <c r="G15" i="86"/>
  <c r="J98" i="123"/>
  <c r="I40" i="338"/>
  <c r="G17" i="86"/>
  <c r="C54" i="86"/>
  <c r="B54" i="86"/>
  <c r="G42" i="338"/>
  <c r="G58" i="338"/>
  <c r="G80" i="338" s="1"/>
  <c r="K11" i="86"/>
  <c r="K18" i="86" s="1"/>
  <c r="L28" i="88"/>
  <c r="H37" i="338"/>
  <c r="H58" i="338" s="1"/>
  <c r="H80" i="338" s="1"/>
  <c r="I35" i="338"/>
  <c r="I34" i="338" s="1"/>
  <c r="K41" i="123"/>
  <c r="L41" i="123"/>
  <c r="K43" i="123"/>
  <c r="K11" i="123" s="1"/>
  <c r="K103" i="123" s="1"/>
  <c r="F11" i="86"/>
  <c r="F18" i="86" s="1"/>
  <c r="H87" i="123" s="1"/>
  <c r="G42" i="88"/>
  <c r="L37" i="338"/>
  <c r="L58" i="338" s="1"/>
  <c r="E37" i="338"/>
  <c r="E58" i="338" s="1"/>
  <c r="E42" i="338"/>
  <c r="D54" i="86"/>
  <c r="E36" i="237"/>
  <c r="E29" i="237" s="1"/>
  <c r="E32" i="237" s="1"/>
  <c r="E14" i="237" s="1"/>
  <c r="E18" i="237" s="1"/>
  <c r="F116" i="123"/>
  <c r="I11" i="86"/>
  <c r="G94" i="123"/>
  <c r="E10" i="86"/>
  <c r="G72" i="338"/>
  <c r="G9" i="338"/>
  <c r="G8" i="338" s="1"/>
  <c r="J54" i="86"/>
  <c r="I54" i="86"/>
  <c r="H54" i="86"/>
  <c r="M72" i="338"/>
  <c r="M13" i="338" s="1"/>
  <c r="M9" i="338"/>
  <c r="M8" i="338" s="1"/>
  <c r="M94" i="123"/>
  <c r="K10" i="86"/>
  <c r="M44" i="123"/>
  <c r="M37" i="123"/>
  <c r="M43" i="123"/>
  <c r="M11" i="123" s="1"/>
  <c r="M103" i="123" s="1"/>
  <c r="D11" i="86"/>
  <c r="D18" i="86" s="1"/>
  <c r="E42" i="88"/>
  <c r="E28" i="88"/>
  <c r="D58" i="338"/>
  <c r="D80" i="338" s="1"/>
  <c r="D42" i="338"/>
  <c r="J40" i="338"/>
  <c r="H17" i="86"/>
  <c r="E11" i="86"/>
  <c r="E18" i="86" s="1"/>
  <c r="G87" i="123" s="1"/>
  <c r="F28" i="88"/>
  <c r="M58" i="338"/>
  <c r="F94" i="123"/>
  <c r="D127" i="123"/>
  <c r="D86" i="123"/>
  <c r="G7" i="88"/>
  <c r="H121" i="123" s="1"/>
  <c r="H16" i="86"/>
  <c r="L12" i="123"/>
  <c r="L52" i="123"/>
  <c r="L13" i="123" s="1"/>
  <c r="L122" i="123" s="1"/>
  <c r="K44" i="88"/>
  <c r="K9" i="88" s="1"/>
  <c r="L57" i="123"/>
  <c r="L18" i="123" s="1"/>
  <c r="K31" i="338"/>
  <c r="L9" i="338"/>
  <c r="L8" i="338" s="1"/>
  <c r="L78" i="338"/>
  <c r="D54" i="294"/>
  <c r="D60" i="294"/>
  <c r="D58" i="133"/>
  <c r="E15" i="338" l="1"/>
  <c r="E14" i="338" s="1"/>
  <c r="E11" i="338" s="1"/>
  <c r="L36" i="237"/>
  <c r="K7" i="88"/>
  <c r="L121" i="123" s="1"/>
  <c r="L42" i="338"/>
  <c r="F15" i="338"/>
  <c r="F14" i="338" s="1"/>
  <c r="F11" i="338" s="1"/>
  <c r="D7" i="88"/>
  <c r="E121" i="123" s="1"/>
  <c r="M36" i="123"/>
  <c r="M9" i="123" s="1"/>
  <c r="F80" i="338"/>
  <c r="E38" i="233"/>
  <c r="E39" i="233" s="1"/>
  <c r="G38" i="233"/>
  <c r="G39" i="233" s="1"/>
  <c r="G45" i="233" s="1"/>
  <c r="F38" i="233"/>
  <c r="F39" i="233" s="1"/>
  <c r="F45" i="233" s="1"/>
  <c r="C38" i="233"/>
  <c r="C39" i="233" s="1"/>
  <c r="H38" i="233"/>
  <c r="H39" i="233" s="1"/>
  <c r="D38" i="233"/>
  <c r="D39" i="233" s="1"/>
  <c r="D45" i="233" s="1"/>
  <c r="L80" i="338"/>
  <c r="G58" i="133"/>
  <c r="L53" i="123"/>
  <c r="L10" i="123" s="1"/>
  <c r="L17" i="88"/>
  <c r="L18" i="88"/>
  <c r="I57" i="133"/>
  <c r="K53" i="123"/>
  <c r="K10" i="123" s="1"/>
  <c r="K77" i="338"/>
  <c r="K17" i="88"/>
  <c r="K18" i="88"/>
  <c r="H35" i="237"/>
  <c r="I15" i="123"/>
  <c r="I55" i="123"/>
  <c r="G35" i="237"/>
  <c r="H55" i="123"/>
  <c r="H15" i="123"/>
  <c r="J15" i="123"/>
  <c r="J55" i="123"/>
  <c r="G84" i="123" s="1"/>
  <c r="D84" i="123" s="1"/>
  <c r="D55" i="123" s="1"/>
  <c r="I35" i="237"/>
  <c r="D15" i="338"/>
  <c r="D14" i="338" s="1"/>
  <c r="D11" i="338" s="1"/>
  <c r="F7" i="88"/>
  <c r="G121" i="123" s="1"/>
  <c r="E58" i="133"/>
  <c r="E80" i="338"/>
  <c r="F86" i="123"/>
  <c r="F130" i="123" s="1"/>
  <c r="D42" i="86"/>
  <c r="F67" i="338"/>
  <c r="B42" i="86"/>
  <c r="C42" i="86"/>
  <c r="F108" i="123"/>
  <c r="F109" i="123"/>
  <c r="F110" i="123"/>
  <c r="F114" i="123"/>
  <c r="E109" i="123"/>
  <c r="E110" i="123"/>
  <c r="E114" i="123"/>
  <c r="K31" i="86"/>
  <c r="J31" i="86"/>
  <c r="K109" i="123"/>
  <c r="K110" i="123"/>
  <c r="K114" i="123"/>
  <c r="J110" i="123"/>
  <c r="J109" i="123"/>
  <c r="J114" i="123"/>
  <c r="I110" i="123"/>
  <c r="I109" i="123"/>
  <c r="I114" i="123"/>
  <c r="H109" i="123"/>
  <c r="H110" i="123"/>
  <c r="H114" i="123"/>
  <c r="D109" i="123"/>
  <c r="D110" i="123"/>
  <c r="D114" i="123"/>
  <c r="H17" i="123"/>
  <c r="H101" i="123"/>
  <c r="K17" i="123"/>
  <c r="K101" i="123"/>
  <c r="E36" i="86"/>
  <c r="H67" i="338"/>
  <c r="C19" i="86"/>
  <c r="C22" i="86" s="1"/>
  <c r="C24" i="86" s="1"/>
  <c r="H45" i="233"/>
  <c r="F91" i="123"/>
  <c r="K48" i="133"/>
  <c r="K49" i="133" s="1"/>
  <c r="I48" i="133"/>
  <c r="I38" i="233"/>
  <c r="I39" i="233" s="1"/>
  <c r="I45" i="233" s="1"/>
  <c r="J38" i="233"/>
  <c r="J39" i="233" s="1"/>
  <c r="J45" i="233" s="1"/>
  <c r="J48" i="133"/>
  <c r="K38" i="233"/>
  <c r="K39" i="233" s="1"/>
  <c r="K45" i="233" s="1"/>
  <c r="E45" i="233"/>
  <c r="C45" i="233"/>
  <c r="E19" i="86"/>
  <c r="E22" i="86" s="1"/>
  <c r="E24" i="86" s="1"/>
  <c r="J57" i="133"/>
  <c r="K78" i="338"/>
  <c r="F58" i="133"/>
  <c r="C57" i="133"/>
  <c r="J7" i="88"/>
  <c r="K121" i="123" s="1"/>
  <c r="E59" i="338"/>
  <c r="E66" i="338" s="1"/>
  <c r="L87" i="123"/>
  <c r="L131" i="123" s="1"/>
  <c r="J19" i="86"/>
  <c r="J22" i="86" s="1"/>
  <c r="J24" i="86" s="1"/>
  <c r="K8" i="123"/>
  <c r="H96" i="123"/>
  <c r="M96" i="123"/>
  <c r="M97" i="123"/>
  <c r="F36" i="123"/>
  <c r="F9" i="123" s="1"/>
  <c r="B49" i="86"/>
  <c r="M87" i="123"/>
  <c r="M131" i="123" s="1"/>
  <c r="L7" i="88"/>
  <c r="M121" i="123" s="1"/>
  <c r="K19" i="86"/>
  <c r="K22" i="86" s="1"/>
  <c r="K24" i="86" s="1"/>
  <c r="L91" i="123"/>
  <c r="K86" i="123"/>
  <c r="K130" i="123" s="1"/>
  <c r="K127" i="123"/>
  <c r="G36" i="123"/>
  <c r="G9" i="123" s="1"/>
  <c r="F87" i="123"/>
  <c r="F88" i="123" s="1"/>
  <c r="F132" i="123" s="1"/>
  <c r="G96" i="123"/>
  <c r="D19" i="86"/>
  <c r="D22" i="86" s="1"/>
  <c r="D24" i="86" s="1"/>
  <c r="F96" i="123"/>
  <c r="G99" i="123"/>
  <c r="G97" i="123"/>
  <c r="G13" i="338"/>
  <c r="G15" i="338" s="1"/>
  <c r="G14" i="338" s="1"/>
  <c r="G11" i="338" s="1"/>
  <c r="G78" i="338"/>
  <c r="L97" i="123"/>
  <c r="K97" i="123"/>
  <c r="K99" i="123"/>
  <c r="D49" i="86"/>
  <c r="I34" i="88"/>
  <c r="J46" i="123"/>
  <c r="J93" i="123"/>
  <c r="J76" i="338"/>
  <c r="J71" i="338" s="1"/>
  <c r="J18" i="88"/>
  <c r="J54" i="123"/>
  <c r="J10" i="123" s="1"/>
  <c r="J17" i="88"/>
  <c r="H6" i="86"/>
  <c r="I42" i="338"/>
  <c r="J38" i="338"/>
  <c r="J37" i="338" s="1"/>
  <c r="H15" i="86"/>
  <c r="C7" i="88"/>
  <c r="D121" i="123" s="1"/>
  <c r="C58" i="133"/>
  <c r="K57" i="133"/>
  <c r="E57" i="133"/>
  <c r="H72" i="338"/>
  <c r="H9" i="338"/>
  <c r="H8" i="338" s="1"/>
  <c r="H94" i="123"/>
  <c r="F10" i="86"/>
  <c r="K94" i="123"/>
  <c r="K38" i="123"/>
  <c r="H38" i="123"/>
  <c r="H44" i="123"/>
  <c r="H43" i="123"/>
  <c r="H11" i="123" s="1"/>
  <c r="H103" i="123" s="1"/>
  <c r="M78" i="338"/>
  <c r="I18" i="86"/>
  <c r="F97" i="123"/>
  <c r="F99" i="123"/>
  <c r="M86" i="123"/>
  <c r="M130" i="123" s="1"/>
  <c r="M91" i="123"/>
  <c r="M127" i="123"/>
  <c r="M15" i="338"/>
  <c r="M14" i="338" s="1"/>
  <c r="M11" i="338" s="1"/>
  <c r="M31" i="338"/>
  <c r="G31" i="338"/>
  <c r="G127" i="123"/>
  <c r="G91" i="123"/>
  <c r="G86" i="123"/>
  <c r="G130" i="123" s="1"/>
  <c r="G6" i="86"/>
  <c r="I93" i="123"/>
  <c r="I17" i="88"/>
  <c r="H34" i="88"/>
  <c r="I18" i="88"/>
  <c r="I46" i="123"/>
  <c r="I54" i="123"/>
  <c r="I10" i="123" s="1"/>
  <c r="I76" i="338"/>
  <c r="I71" i="338" s="1"/>
  <c r="G11" i="86"/>
  <c r="H42" i="88"/>
  <c r="H28" i="88"/>
  <c r="J35" i="338"/>
  <c r="J34" i="338" s="1"/>
  <c r="G54" i="86"/>
  <c r="B18" i="86"/>
  <c r="E97" i="123"/>
  <c r="E49" i="86"/>
  <c r="F57" i="133"/>
  <c r="H116" i="123"/>
  <c r="G36" i="237"/>
  <c r="G29" i="237" s="1"/>
  <c r="G32" i="237" s="1"/>
  <c r="G14" i="237" s="1"/>
  <c r="G18" i="237" s="1"/>
  <c r="G29" i="88"/>
  <c r="G19" i="88"/>
  <c r="G8" i="88"/>
  <c r="G31" i="88"/>
  <c r="G30" i="88"/>
  <c r="H97" i="123"/>
  <c r="I37" i="338"/>
  <c r="I58" i="338" s="1"/>
  <c r="I80" i="338" s="1"/>
  <c r="D130" i="123"/>
  <c r="L8" i="123"/>
  <c r="H131" i="123"/>
  <c r="F8" i="123"/>
  <c r="E8" i="123"/>
  <c r="K59" i="338"/>
  <c r="K66" i="338" s="1"/>
  <c r="G8" i="123"/>
  <c r="L31" i="338"/>
  <c r="L15" i="338"/>
  <c r="L14" i="338" s="1"/>
  <c r="L11" i="338" s="1"/>
  <c r="G131" i="123"/>
  <c r="E131" i="123"/>
  <c r="E88" i="123"/>
  <c r="E132" i="123" s="1"/>
  <c r="F77" i="338"/>
  <c r="F59" i="338"/>
  <c r="F66" i="338" s="1"/>
  <c r="D77" i="338"/>
  <c r="D59" i="338"/>
  <c r="D66" i="338" s="1"/>
  <c r="F68" i="338" l="1"/>
  <c r="M8" i="123"/>
  <c r="K58" i="133"/>
  <c r="I42" i="86"/>
  <c r="K116" i="123"/>
  <c r="J36" i="237"/>
  <c r="L116" i="123"/>
  <c r="K36" i="237"/>
  <c r="K80" i="338"/>
  <c r="K42" i="338"/>
  <c r="M42" i="338"/>
  <c r="J42" i="86"/>
  <c r="L67" i="338"/>
  <c r="K15" i="123"/>
  <c r="J35" i="237"/>
  <c r="K55" i="123"/>
  <c r="H84" i="123" s="1"/>
  <c r="J34" i="88"/>
  <c r="J19" i="88"/>
  <c r="E67" i="338"/>
  <c r="E68" i="338" s="1"/>
  <c r="D67" i="338"/>
  <c r="D68" i="338" s="1"/>
  <c r="M105" i="123"/>
  <c r="K32" i="86"/>
  <c r="M108" i="123" s="1"/>
  <c r="L105" i="123"/>
  <c r="J32" i="86"/>
  <c r="I17" i="123"/>
  <c r="I101" i="123"/>
  <c r="F36" i="86"/>
  <c r="L101" i="123"/>
  <c r="L17" i="123"/>
  <c r="I36" i="86"/>
  <c r="J49" i="133"/>
  <c r="J58" i="133"/>
  <c r="I49" i="133"/>
  <c r="I58" i="133"/>
  <c r="H8" i="123"/>
  <c r="L88" i="123"/>
  <c r="L132" i="123" s="1"/>
  <c r="G88" i="123"/>
  <c r="G132" i="123" s="1"/>
  <c r="F131" i="123"/>
  <c r="M88" i="123"/>
  <c r="M132" i="123" s="1"/>
  <c r="F49" i="86"/>
  <c r="D87" i="123"/>
  <c r="B19" i="86"/>
  <c r="B22" i="86" s="1"/>
  <c r="B24" i="86" s="1"/>
  <c r="E96" i="123"/>
  <c r="J42" i="338"/>
  <c r="J58" i="338"/>
  <c r="J80" i="338" s="1"/>
  <c r="I97" i="123"/>
  <c r="G18" i="86"/>
  <c r="I116" i="123"/>
  <c r="H36" i="237"/>
  <c r="H29" i="237" s="1"/>
  <c r="H32" i="237" s="1"/>
  <c r="H14" i="237" s="1"/>
  <c r="H18" i="237" s="1"/>
  <c r="H31" i="88"/>
  <c r="H30" i="88"/>
  <c r="H29" i="88"/>
  <c r="H19" i="88"/>
  <c r="H8" i="88"/>
  <c r="G77" i="338"/>
  <c r="G59" i="338"/>
  <c r="G66" i="338" s="1"/>
  <c r="G68" i="338" s="1"/>
  <c r="K96" i="123"/>
  <c r="K87" i="123"/>
  <c r="I19" i="86"/>
  <c r="I22" i="86" s="1"/>
  <c r="I24" i="86" s="1"/>
  <c r="L96" i="123"/>
  <c r="H13" i="338"/>
  <c r="H78" i="338"/>
  <c r="G57" i="133"/>
  <c r="H11" i="86"/>
  <c r="I28" i="88"/>
  <c r="I42" i="88"/>
  <c r="H58" i="133"/>
  <c r="H7" i="88"/>
  <c r="I121" i="123" s="1"/>
  <c r="I9" i="338"/>
  <c r="I8" i="338" s="1"/>
  <c r="I72" i="338"/>
  <c r="I13" i="338" s="1"/>
  <c r="I38" i="123"/>
  <c r="I44" i="123"/>
  <c r="I43" i="123"/>
  <c r="I11" i="123" s="1"/>
  <c r="I103" i="123" s="1"/>
  <c r="I94" i="123"/>
  <c r="G10" i="86"/>
  <c r="M59" i="338"/>
  <c r="M66" i="338" s="1"/>
  <c r="M77" i="338"/>
  <c r="H36" i="123"/>
  <c r="H9" i="123" s="1"/>
  <c r="K36" i="123"/>
  <c r="K9" i="123" s="1"/>
  <c r="H86" i="123"/>
  <c r="H127" i="123"/>
  <c r="H91" i="123"/>
  <c r="K91" i="123"/>
  <c r="F19" i="86"/>
  <c r="F22" i="86" s="1"/>
  <c r="F24" i="86" s="1"/>
  <c r="H31" i="338"/>
  <c r="H15" i="338"/>
  <c r="H14" i="338" s="1"/>
  <c r="H11" i="338" s="1"/>
  <c r="D8" i="123"/>
  <c r="H10" i="86"/>
  <c r="J94" i="123"/>
  <c r="J116" i="123"/>
  <c r="I36" i="237"/>
  <c r="I29" i="237" s="1"/>
  <c r="I32" i="237" s="1"/>
  <c r="I14" i="237" s="1"/>
  <c r="I18" i="237" s="1"/>
  <c r="J72" i="338"/>
  <c r="J13" i="338" s="1"/>
  <c r="J9" i="338"/>
  <c r="J8" i="338" s="1"/>
  <c r="J44" i="123"/>
  <c r="J43" i="123"/>
  <c r="J11" i="123" s="1"/>
  <c r="J103" i="123" s="1"/>
  <c r="J38" i="123"/>
  <c r="I31" i="88"/>
  <c r="I8" i="88"/>
  <c r="I33" i="88"/>
  <c r="I19" i="88"/>
  <c r="L77" i="338"/>
  <c r="L59" i="338"/>
  <c r="L66" i="338" s="1"/>
  <c r="L68" i="338" l="1"/>
  <c r="J29" i="237"/>
  <c r="J32" i="237" s="1"/>
  <c r="J14" i="237" s="1"/>
  <c r="J18" i="237" s="1"/>
  <c r="I49" i="86" s="1"/>
  <c r="M80" i="338"/>
  <c r="K42" i="86"/>
  <c r="K67" i="338"/>
  <c r="K68" i="338" s="1"/>
  <c r="L34" i="88"/>
  <c r="M15" i="123"/>
  <c r="L35" i="237"/>
  <c r="L29" i="237" s="1"/>
  <c r="L32" i="237" s="1"/>
  <c r="L14" i="237" s="1"/>
  <c r="L18" i="237" s="1"/>
  <c r="K49" i="86" s="1"/>
  <c r="M55" i="123"/>
  <c r="J84" i="123" s="1"/>
  <c r="L19" i="88"/>
  <c r="K34" i="88"/>
  <c r="L55" i="123"/>
  <c r="I84" i="123" s="1"/>
  <c r="K35" i="237"/>
  <c r="K29" i="237" s="1"/>
  <c r="K32" i="237" s="1"/>
  <c r="K14" i="237" s="1"/>
  <c r="K18" i="237" s="1"/>
  <c r="L15" i="123"/>
  <c r="K19" i="88"/>
  <c r="C23" i="88"/>
  <c r="D5" i="123"/>
  <c r="C5" i="237"/>
  <c r="C6" i="237" s="1"/>
  <c r="C8" i="237" s="1"/>
  <c r="B45" i="86"/>
  <c r="C35" i="88"/>
  <c r="D7" i="123" s="1"/>
  <c r="D117" i="123" s="1"/>
  <c r="G102" i="123"/>
  <c r="E53" i="86"/>
  <c r="M110" i="123"/>
  <c r="M109" i="123"/>
  <c r="M114" i="123"/>
  <c r="L109" i="123"/>
  <c r="L110" i="123"/>
  <c r="L114" i="123"/>
  <c r="L108" i="123"/>
  <c r="J17" i="123"/>
  <c r="G36" i="86"/>
  <c r="J36" i="86"/>
  <c r="M101" i="123"/>
  <c r="M17" i="123"/>
  <c r="J78" i="338"/>
  <c r="H49" i="86"/>
  <c r="H130" i="123"/>
  <c r="H88" i="123"/>
  <c r="H132" i="123" s="1"/>
  <c r="J36" i="123"/>
  <c r="J9" i="123" s="1"/>
  <c r="I36" i="123"/>
  <c r="I9" i="123" s="1"/>
  <c r="I15" i="338"/>
  <c r="I14" i="338" s="1"/>
  <c r="I11" i="338" s="1"/>
  <c r="I31" i="338"/>
  <c r="I7" i="88"/>
  <c r="J121" i="123" s="1"/>
  <c r="K88" i="123"/>
  <c r="K132" i="123" s="1"/>
  <c r="K131" i="123"/>
  <c r="G49" i="86"/>
  <c r="I87" i="123"/>
  <c r="I131" i="123" s="1"/>
  <c r="I96" i="123"/>
  <c r="I78" i="338"/>
  <c r="J15" i="338"/>
  <c r="J14" i="338" s="1"/>
  <c r="J11" i="338" s="1"/>
  <c r="J31" i="338"/>
  <c r="J86" i="123"/>
  <c r="H59" i="338"/>
  <c r="H66" i="338" s="1"/>
  <c r="H68" i="338" s="1"/>
  <c r="H77" i="338"/>
  <c r="J91" i="123"/>
  <c r="I127" i="123"/>
  <c r="I91" i="123"/>
  <c r="I86" i="123"/>
  <c r="G19" i="86"/>
  <c r="G22" i="86" s="1"/>
  <c r="G24" i="86" s="1"/>
  <c r="J97" i="123"/>
  <c r="H18" i="86"/>
  <c r="H19" i="86" s="1"/>
  <c r="H22" i="86" s="1"/>
  <c r="H24" i="86" s="1"/>
  <c r="I8" i="123"/>
  <c r="H57" i="133"/>
  <c r="D131" i="123"/>
  <c r="D88" i="123"/>
  <c r="D132" i="123" s="1"/>
  <c r="E39" i="86" l="1"/>
  <c r="M67" i="338"/>
  <c r="M68" i="338" s="1"/>
  <c r="J49" i="86"/>
  <c r="D5" i="237"/>
  <c r="D6" i="237" s="1"/>
  <c r="D8" i="237" s="1"/>
  <c r="E5" i="123"/>
  <c r="D23" i="88"/>
  <c r="C45" i="86"/>
  <c r="D35" i="88"/>
  <c r="E7" i="123" s="1"/>
  <c r="E117" i="123" s="1"/>
  <c r="B48" i="86"/>
  <c r="B50" i="86" s="1"/>
  <c r="C19" i="237"/>
  <c r="D124" i="123" s="1"/>
  <c r="D6" i="123"/>
  <c r="F53" i="86"/>
  <c r="H102" i="123"/>
  <c r="K36" i="86"/>
  <c r="H36" i="86"/>
  <c r="I130" i="123"/>
  <c r="I88" i="123"/>
  <c r="I132" i="123" s="1"/>
  <c r="J77" i="338"/>
  <c r="J59" i="338"/>
  <c r="J66" i="338" s="1"/>
  <c r="J68" i="338" s="1"/>
  <c r="J96" i="123"/>
  <c r="J87" i="123"/>
  <c r="J131" i="123" s="1"/>
  <c r="J130" i="123"/>
  <c r="J8" i="123"/>
  <c r="I59" i="338"/>
  <c r="I66" i="338" s="1"/>
  <c r="I68" i="338" s="1"/>
  <c r="I77" i="338"/>
  <c r="G53" i="86" l="1"/>
  <c r="I102" i="123"/>
  <c r="C48" i="86"/>
  <c r="C50" i="86" s="1"/>
  <c r="E6" i="123"/>
  <c r="D19" i="237"/>
  <c r="D133" i="123"/>
  <c r="D134" i="123" s="1"/>
  <c r="D135" i="123" s="1"/>
  <c r="B39" i="86"/>
  <c r="F5" i="123"/>
  <c r="E23" i="88"/>
  <c r="E5" i="237"/>
  <c r="E6" i="237" s="1"/>
  <c r="E8" i="237" s="1"/>
  <c r="D45" i="86"/>
  <c r="E35" i="88"/>
  <c r="F7" i="123" s="1"/>
  <c r="F117" i="123" s="1"/>
  <c r="J88" i="123"/>
  <c r="J132" i="123" s="1"/>
  <c r="G35" i="88" l="1"/>
  <c r="H7" i="123" s="1"/>
  <c r="H117" i="123" s="1"/>
  <c r="H5" i="123"/>
  <c r="F45" i="86"/>
  <c r="G23" i="88"/>
  <c r="G5" i="237"/>
  <c r="I5" i="123"/>
  <c r="H23" i="88"/>
  <c r="H5" i="237"/>
  <c r="G45" i="86"/>
  <c r="H35" i="88"/>
  <c r="I7" i="123" s="1"/>
  <c r="I117" i="123" s="1"/>
  <c r="H45" i="86"/>
  <c r="J5" i="123"/>
  <c r="I23" i="88"/>
  <c r="I5" i="237"/>
  <c r="I35" i="88"/>
  <c r="J7" i="123" s="1"/>
  <c r="J117" i="123" s="1"/>
  <c r="H53" i="86"/>
  <c r="K102" i="123"/>
  <c r="I53" i="86"/>
  <c r="D39" i="86"/>
  <c r="D48" i="86"/>
  <c r="D50" i="86" s="1"/>
  <c r="E19" i="237"/>
  <c r="F6" i="123"/>
  <c r="E124" i="123"/>
  <c r="E133" i="123"/>
  <c r="E134" i="123" s="1"/>
  <c r="E135" i="123" s="1"/>
  <c r="C39" i="86"/>
  <c r="F124" i="123" l="1"/>
  <c r="F133" i="123"/>
  <c r="F134" i="123" s="1"/>
  <c r="F135" i="123" s="1"/>
  <c r="L102" i="123"/>
  <c r="J53" i="86"/>
  <c r="K53" i="86"/>
  <c r="M102" i="123"/>
  <c r="J5" i="237" l="1"/>
  <c r="J35" i="88"/>
  <c r="K7" i="123" s="1"/>
  <c r="K117" i="123" s="1"/>
  <c r="I45" i="86"/>
  <c r="J23" i="88"/>
  <c r="K5" i="123"/>
  <c r="K89" i="123"/>
  <c r="K5" i="237"/>
  <c r="K35" i="88"/>
  <c r="L7" i="123" s="1"/>
  <c r="L117" i="123" s="1"/>
  <c r="J45" i="86"/>
  <c r="L5" i="123"/>
  <c r="K23" i="88"/>
  <c r="L23" i="88" l="1"/>
  <c r="M5" i="123"/>
  <c r="L35" i="88"/>
  <c r="M7" i="123" s="1"/>
  <c r="M117" i="123" s="1"/>
  <c r="K45" i="86"/>
  <c r="L5" i="237"/>
  <c r="F39" i="86"/>
  <c r="G39" i="86" l="1"/>
  <c r="G15" i="88"/>
  <c r="G6" i="237"/>
  <c r="G8" i="237" s="1"/>
  <c r="H39" i="86"/>
  <c r="I15" i="88" l="1"/>
  <c r="I6" i="237"/>
  <c r="I8" i="237" s="1"/>
  <c r="F35" i="86"/>
  <c r="G13" i="88"/>
  <c r="G14" i="88"/>
  <c r="F48" i="86"/>
  <c r="F50" i="86" s="1"/>
  <c r="G19" i="237"/>
  <c r="H6" i="123"/>
  <c r="H15" i="88"/>
  <c r="H6" i="237"/>
  <c r="H8" i="237" s="1"/>
  <c r="I39" i="86"/>
  <c r="J15" i="88" l="1"/>
  <c r="J6" i="237"/>
  <c r="J8" i="237" s="1"/>
  <c r="J39" i="86"/>
  <c r="H35" i="86"/>
  <c r="I13" i="88"/>
  <c r="I14" i="88"/>
  <c r="G48" i="86"/>
  <c r="G50" i="86" s="1"/>
  <c r="I6" i="123"/>
  <c r="H19" i="237"/>
  <c r="H14" i="88"/>
  <c r="G35" i="86"/>
  <c r="H13" i="88"/>
  <c r="H124" i="123"/>
  <c r="H133" i="123"/>
  <c r="H134" i="123" s="1"/>
  <c r="H135" i="123" s="1"/>
  <c r="H48" i="86"/>
  <c r="H50" i="86" s="1"/>
  <c r="J6" i="123"/>
  <c r="I19" i="237"/>
  <c r="J124" i="123" l="1"/>
  <c r="J133" i="123"/>
  <c r="J134" i="123" s="1"/>
  <c r="J135" i="123" s="1"/>
  <c r="K6" i="123"/>
  <c r="I48" i="86"/>
  <c r="I50" i="86" s="1"/>
  <c r="J19" i="237"/>
  <c r="K39" i="86"/>
  <c r="I124" i="123"/>
  <c r="I133" i="123"/>
  <c r="I134" i="123" s="1"/>
  <c r="I135" i="123" s="1"/>
  <c r="K15" i="88"/>
  <c r="K6" i="237"/>
  <c r="K8" i="237" s="1"/>
  <c r="I35" i="86"/>
  <c r="J13" i="88"/>
  <c r="J14" i="88"/>
  <c r="K13" i="88" l="1"/>
  <c r="J35" i="86"/>
  <c r="K14" i="88"/>
  <c r="K124" i="123"/>
  <c r="K133" i="123"/>
  <c r="K134" i="123" s="1"/>
  <c r="K135" i="123" s="1"/>
  <c r="J48" i="86"/>
  <c r="J50" i="86" s="1"/>
  <c r="L6" i="123"/>
  <c r="K19" i="237"/>
  <c r="L15" i="88"/>
  <c r="L6" i="237"/>
  <c r="L8" i="237" s="1"/>
  <c r="L14" i="88" l="1"/>
  <c r="L13" i="88"/>
  <c r="K35" i="86"/>
  <c r="L124" i="123"/>
  <c r="L133" i="123"/>
  <c r="L134" i="123" s="1"/>
  <c r="L135" i="123" s="1"/>
  <c r="M6" i="123"/>
  <c r="L19" i="237"/>
  <c r="K48" i="86"/>
  <c r="K50" i="86" s="1"/>
  <c r="M124" i="123" l="1"/>
  <c r="M133" i="123"/>
  <c r="M134" i="123" s="1"/>
  <c r="M135" i="123" s="1"/>
  <c r="F15" i="88" l="1"/>
  <c r="F14" i="88"/>
  <c r="F6" i="237"/>
  <c r="F8" i="237" s="1"/>
  <c r="G6" i="123" s="1"/>
  <c r="E48" i="86" l="1"/>
  <c r="E50" i="86" s="1"/>
  <c r="F19" i="237"/>
  <c r="E35" i="86"/>
  <c r="F13" i="88"/>
  <c r="G124" i="123" l="1"/>
  <c r="G133" i="123"/>
  <c r="G134" i="123" s="1"/>
  <c r="G135" i="123" s="1"/>
</calcChain>
</file>

<file path=xl/sharedStrings.xml><?xml version="1.0" encoding="utf-8"?>
<sst xmlns="http://schemas.openxmlformats.org/spreadsheetml/2006/main" count="5975" uniqueCount="2565">
  <si>
    <t>Recreational facilities</t>
  </si>
  <si>
    <t>Community halls</t>
  </si>
  <si>
    <t>Parks &amp; gardens</t>
  </si>
  <si>
    <t>Debt impairment provision</t>
  </si>
  <si>
    <t>Balance at the beginning of the year</t>
  </si>
  <si>
    <t>Contributions to the provision</t>
  </si>
  <si>
    <t>Bad debts written off</t>
  </si>
  <si>
    <t>Balance at end of year</t>
  </si>
  <si>
    <t>Total revenue</t>
  </si>
  <si>
    <t>Supporting benchmarks</t>
  </si>
  <si>
    <t>Average annual collection rate (arrears inclusive)</t>
  </si>
  <si>
    <t>check revenue</t>
  </si>
  <si>
    <t>check expenditure</t>
  </si>
  <si>
    <t>Borrowing receipts % of capital expenditure (excl. transfers)</t>
  </si>
  <si>
    <t>Total future operational costs</t>
  </si>
  <si>
    <t>Total Parent Expenditure Implication</t>
  </si>
  <si>
    <t>Entities:</t>
  </si>
  <si>
    <t>Total Entity Expenditure Implication</t>
  </si>
  <si>
    <t>1. Total implication for all preceding years to be summed and total stated in 'Preceding Years' column</t>
  </si>
  <si>
    <t>1. Summarise the total capital cost until capital project is operational (MFMA s19(2)(a))</t>
  </si>
  <si>
    <t>2. Summary of future operational costs from when projects operational (present value until the end of each asset's useful life) (MFMA s19(2)(b))</t>
  </si>
  <si>
    <t>Infrastructure - Electricity</t>
  </si>
  <si>
    <t>Generation</t>
  </si>
  <si>
    <t>Transmission &amp; Reticulation</t>
  </si>
  <si>
    <t>Infrastructure - Water</t>
  </si>
  <si>
    <t>Dams &amp; Reservoirs</t>
  </si>
  <si>
    <t>Water purification</t>
  </si>
  <si>
    <t>Reticulation</t>
  </si>
  <si>
    <t>Infrastructure - Sanitation</t>
  </si>
  <si>
    <t>Sewerage purification</t>
  </si>
  <si>
    <t>Infrastructure - Other</t>
  </si>
  <si>
    <t>Social rental housing</t>
  </si>
  <si>
    <t>Specialised vehicles</t>
  </si>
  <si>
    <t>7. Busses used to provide a service to the community</t>
  </si>
  <si>
    <t>R thousands</t>
  </si>
  <si>
    <t>Transfers recognised - operational</t>
  </si>
  <si>
    <t>Contributions recognised - capital &amp; contributed assets</t>
  </si>
  <si>
    <t>Community wealth/Equity</t>
  </si>
  <si>
    <t xml:space="preserve">Total Capital Expenditure </t>
  </si>
  <si>
    <t>Contributed assets</t>
  </si>
  <si>
    <t>Other Expenditure By Type</t>
  </si>
  <si>
    <t xml:space="preserve">Supporting Table SA5 </t>
  </si>
  <si>
    <t xml:space="preserve">Supporting Table SA6 </t>
  </si>
  <si>
    <t>Supporting Table SA7</t>
  </si>
  <si>
    <t>Supporting Table SA8</t>
  </si>
  <si>
    <t>Supporting Table SA9</t>
  </si>
  <si>
    <t>KZN263 Abaqulusi</t>
  </si>
  <si>
    <t>KZN265 Nongoma</t>
  </si>
  <si>
    <t>KZN266 Ulundi</t>
  </si>
  <si>
    <t>KZN271 Umhlabuyalingana</t>
  </si>
  <si>
    <t>KZN272 Jozini</t>
  </si>
  <si>
    <t>KZN274 Hlabisa</t>
  </si>
  <si>
    <t>KZN275 Mtubatuba</t>
  </si>
  <si>
    <t>KZN282 uMhlathuze</t>
  </si>
  <si>
    <t>KZN283 Ntambanana</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</si>
  <si>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</si>
  <si>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</si>
  <si>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</si>
  <si>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</si>
  <si>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</si>
  <si>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</si>
  <si>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</si>
  <si>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</si>
  <si>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</si>
  <si>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</si>
  <si>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</si>
  <si>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</si>
  <si>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</si>
  <si>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</si>
  <si>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</si>
  <si>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</si>
  <si>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</si>
  <si>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</si>
  <si>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</si>
  <si>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</si>
  <si>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</si>
  <si>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</si>
  <si>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</si>
  <si>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</si>
  <si>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</si>
  <si>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</si>
  <si>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</si>
  <si>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</si>
  <si>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</si>
  <si>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</si>
  <si>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</si>
  <si>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LIM472 Elias Motsoaledi</t>
  </si>
  <si>
    <t>LIM474 Fetakgomo</t>
  </si>
  <si>
    <t>LIM475 Greater Tubatse</t>
  </si>
  <si>
    <t>MP316 Dr J.S. Moroka</t>
  </si>
  <si>
    <t>NW403 City Of Matlosana</t>
  </si>
  <si>
    <t>Choose name from list</t>
  </si>
  <si>
    <t>Name of Muni</t>
  </si>
  <si>
    <t>Name link</t>
  </si>
  <si>
    <t>Electricity Generation</t>
  </si>
  <si>
    <t>Air Transport</t>
  </si>
  <si>
    <t>Forestry</t>
  </si>
  <si>
    <t>Licensing &amp; Regulation</t>
  </si>
  <si>
    <t>YTD budget</t>
  </si>
  <si>
    <t>Head43</t>
  </si>
  <si>
    <t>YTD variance</t>
  </si>
  <si>
    <t>R&amp;M % of Property Plant &amp; Equipment</t>
  </si>
  <si>
    <t>Cash receipts % of Ratepayer &amp; Other revenue</t>
  </si>
  <si>
    <t>Long-Term Loans (annuity/reducing balance)</t>
  </si>
  <si>
    <t>Local registered stock</t>
  </si>
  <si>
    <t>Housing Development Fund</t>
  </si>
  <si>
    <t>Finance Granted By Cap Equipment Supplier</t>
  </si>
  <si>
    <t>Marketable Bonds</t>
  </si>
  <si>
    <t>Non-Marketable Bonds</t>
  </si>
  <si>
    <t>Bankers Acceptances</t>
  </si>
  <si>
    <t>Other Securities</t>
  </si>
  <si>
    <t>Councillors</t>
  </si>
  <si>
    <t>Salary</t>
  </si>
  <si>
    <t>Allowances</t>
  </si>
  <si>
    <t>Municipal Manager (MM)</t>
  </si>
  <si>
    <t>Chief Finance Officer</t>
  </si>
  <si>
    <t>List each member of board by designation</t>
  </si>
  <si>
    <t>EC EASTERN CAPE</t>
  </si>
  <si>
    <t>Grade</t>
  </si>
  <si>
    <t>1 Grade in terms of the Remuneration of Public Office Bearers Act.</t>
  </si>
  <si>
    <t>Province</t>
  </si>
  <si>
    <t>Web Address</t>
  </si>
  <si>
    <t>12. Indicative of realistic long term arrear debtor collection targets (prior to 2003/04 revenue not available for high capacity municipalities and later for other capacity classifications)</t>
  </si>
  <si>
    <t>7. Special consideration may have to be given to including 'goodwill arising' or 'joint venture' budgets where circumstances require this (include separately under relevant notes)</t>
  </si>
  <si>
    <t>Total future revenue</t>
  </si>
  <si>
    <t>Prior year -1</t>
  </si>
  <si>
    <t>Prior year -2</t>
  </si>
  <si>
    <t>Prior year -3</t>
  </si>
  <si>
    <t>5. Must agree to the sub-total appearing on Table A1 (Employee costs)</t>
  </si>
  <si>
    <t>Males aged 5 - 14</t>
  </si>
  <si>
    <t>Males aged 15 - 34</t>
  </si>
  <si>
    <t>Using public tap (at least min.service level)</t>
  </si>
  <si>
    <t>Other water supply (at least min.service level)</t>
  </si>
  <si>
    <t>5. Infrastructure includes 'land and buildings required' by that infrastructure and vehicles/plant &amp; equipment used by the service generated by that infrastructure</t>
  </si>
  <si>
    <t>% increase/-decrease</t>
  </si>
  <si>
    <t>5. Net assets must balance with Total Community Wealth/Equity</t>
  </si>
  <si>
    <t>Biological assets</t>
  </si>
  <si>
    <t>Street Lighting</t>
  </si>
  <si>
    <t>Gas</t>
  </si>
  <si>
    <t>sub-total</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</si>
  <si>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</si>
  <si>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Municipal governance and administration</t>
  </si>
  <si>
    <t>Executive and council</t>
  </si>
  <si>
    <t>Budget and treasury office</t>
  </si>
  <si>
    <t>Corporate services</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</si>
  <si>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</si>
  <si>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</si>
  <si>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</si>
  <si>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</si>
  <si>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</si>
  <si>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</si>
  <si>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</si>
  <si>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</si>
  <si>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</si>
  <si>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check oprev balance</t>
  </si>
  <si>
    <t>Minorities' interests</t>
  </si>
  <si>
    <t>Unspent borrowing</t>
  </si>
  <si>
    <t>Lists</t>
  </si>
  <si>
    <t>&lt;1</t>
  </si>
  <si>
    <t>&lt;4</t>
  </si>
  <si>
    <t>&gt;10</t>
  </si>
  <si>
    <t>Market</t>
  </si>
  <si>
    <t>Dep.Replace</t>
  </si>
  <si>
    <t>Land only</t>
  </si>
  <si>
    <t>Phasing-in properties s21 (number)</t>
  </si>
  <si>
    <t>Land &amp; impr.</t>
  </si>
  <si>
    <t>D. The original budget approved by council for the budget year.</t>
  </si>
  <si>
    <t>E. The budget for the budget year as adjusted by council resolution in terms of section 28 of the MFMA.</t>
  </si>
  <si>
    <t>F. An estimate of final actual amounts (pre audit) for the current year at the point in time of preparing the budget for the budget year. This may differ from E.</t>
  </si>
  <si>
    <t>G. The amount to be appropriated for the budget year.</t>
  </si>
  <si>
    <t>H and I. The indicative projection</t>
  </si>
  <si>
    <t>2. Total Capital Expenditure must reconcile to Budgeted Capital Expenditure</t>
  </si>
  <si>
    <t>1. Include a measurable performance objective for each revenue source (within a relevant function) and each vote (MFMA s17(3)(b))</t>
  </si>
  <si>
    <t>1. Include a measurable performance objective as agreed with the parent municipality (MFMA s87(5)(d))</t>
  </si>
  <si>
    <t>Debt impairment expense as a % of total billable revenue</t>
  </si>
  <si>
    <t>Consolidated total:</t>
  </si>
  <si>
    <t>Entities sub-total</t>
  </si>
  <si>
    <t>Municipality sub-total</t>
  </si>
  <si>
    <t>Parent municipality</t>
  </si>
  <si>
    <t>Total Expenditure by Vote</t>
  </si>
  <si>
    <t>Total Revenue by Vote</t>
  </si>
  <si>
    <t>EC134 Lukhanji</t>
  </si>
  <si>
    <t>EC135 Intsika Yethu</t>
  </si>
  <si>
    <t>EC136 Emalahleni (Ec)</t>
  </si>
  <si>
    <t>EC137 Engcobo</t>
  </si>
  <si>
    <t>EC138 Sakhisizwe</t>
  </si>
  <si>
    <t>EC141 Elundini</t>
  </si>
  <si>
    <t>EC142 Senqu</t>
  </si>
  <si>
    <t>EC143 Maletswai</t>
  </si>
  <si>
    <t>2. Must reconcile to Budgeted Financial Performance (revenue and expenditure)</t>
  </si>
  <si>
    <t>1. Insert 'Vote'; e.g. department, if different to standard classification structure</t>
  </si>
  <si>
    <t>Surplus/(Deficit) attributable to municipality</t>
  </si>
  <si>
    <t>1. Classifications are revenue sources and expenditure type</t>
  </si>
  <si>
    <t>6. Contributions are funds provided by external organisations to assist with infrastructure development; e.g. developer contributions (detail to be provided in Table SA1)</t>
  </si>
  <si>
    <t>1. Municipalities may choose to appropriate for capital expenditure for three years or for one year (if one year appropriation projected expenditure required for yr2 and yr3).</t>
  </si>
  <si>
    <t>5. Must reconcile to Budgeted Financial Performance (revenue and expenditure)</t>
  </si>
  <si>
    <t>7. Total Capital Funding must balance with Total Capital Expenditure</t>
  </si>
  <si>
    <t>Capital multi-year expenditure sub-total</t>
  </si>
  <si>
    <t>Add single year stuff</t>
  </si>
  <si>
    <t>No rubbish disposal</t>
  </si>
  <si>
    <t>Households receiving Free Basic Service</t>
  </si>
  <si>
    <t>Household service targets (000)</t>
  </si>
  <si>
    <t>2007 Survey</t>
  </si>
  <si>
    <t>Financial position</t>
  </si>
  <si>
    <t>Cash flows</t>
  </si>
  <si>
    <t>Other own revenue</t>
  </si>
  <si>
    <t>NW375 Moses Kotane</t>
  </si>
  <si>
    <t>NW381 Ratlou</t>
  </si>
  <si>
    <t>NW382 Tswaing</t>
  </si>
  <si>
    <t>NW383 Mafikeng</t>
  </si>
  <si>
    <t>NW384 Ditsobotla</t>
  </si>
  <si>
    <t>NW385 Ramotshere Moiloa</t>
  </si>
  <si>
    <t>NW392 Naledi (Nw)</t>
  </si>
  <si>
    <t>NW393 Mamusa</t>
  </si>
  <si>
    <t>NW394 Greater Taung</t>
  </si>
  <si>
    <t>NW396 Lekwa-Teemane</t>
  </si>
  <si>
    <t>NW401 Ventersdorp</t>
  </si>
  <si>
    <t>NW402 Tlokwe</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</si>
  <si>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</si>
  <si>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</si>
  <si>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</si>
  <si>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</si>
  <si>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</si>
  <si>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</si>
  <si>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</si>
  <si>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</si>
  <si>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</si>
  <si>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</si>
  <si>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</si>
  <si>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</si>
  <si>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</si>
  <si>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</si>
  <si>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</si>
  <si>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</si>
  <si>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</si>
  <si>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</si>
  <si>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</si>
  <si>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</si>
  <si>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</si>
  <si>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</si>
  <si>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</si>
  <si>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</si>
  <si>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Pit toilet (ventilated)</t>
  </si>
  <si>
    <t>Bucket toilet</t>
  </si>
  <si>
    <t>Other toilet provisions (&gt; min.service level)</t>
  </si>
  <si>
    <t>GT423 Lesedi</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</si>
  <si>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</si>
  <si>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</si>
  <si>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</si>
  <si>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</si>
  <si>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</si>
  <si>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</si>
  <si>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</si>
  <si>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</si>
  <si>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</si>
  <si>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</si>
  <si>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</si>
  <si>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</si>
  <si>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</si>
  <si>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</si>
  <si>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</si>
  <si>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</si>
  <si>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</si>
  <si>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</si>
  <si>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Parent Municipality</t>
  </si>
  <si>
    <t>Other governmental units - capital</t>
  </si>
  <si>
    <t>Total payments</t>
  </si>
  <si>
    <t>Increase/(decrease) in tax/consumer debtors</t>
  </si>
  <si>
    <t>Increase/(decrease) in other debtors</t>
  </si>
  <si>
    <t>Salaries &amp; Wages</t>
  </si>
  <si>
    <t>Social contributions</t>
  </si>
  <si>
    <t>Unauthorised expenditure</t>
  </si>
  <si>
    <t>Municipal agencies and accounts</t>
  </si>
  <si>
    <t>Households - social benefits</t>
  </si>
  <si>
    <t>Payment for capital assets</t>
  </si>
  <si>
    <t>Machinery and equipment</t>
  </si>
  <si>
    <t>Software and other intangible assets</t>
  </si>
  <si>
    <t>Receipts less payments</t>
  </si>
  <si>
    <t>Net increase/(decrease) in cash held</t>
  </si>
  <si>
    <t>Buildings and other fixed structures</t>
  </si>
  <si>
    <t>Sales of capital assets</t>
  </si>
  <si>
    <t>Refuse landfill site rehabilitation</t>
  </si>
  <si>
    <t>Deputy Executive Mayor</t>
  </si>
  <si>
    <t>TOTAL COST OF COUNCILLOR, DIRECTOR and EXECUTIVE REMUNERATION</t>
  </si>
  <si>
    <t>DoRA capital</t>
  </si>
  <si>
    <t>Cash year end/monthly employee/supplier payments</t>
  </si>
  <si>
    <t>Senior Managers of Entities</t>
  </si>
  <si>
    <t>Sub Total - Senior Managers of Entities</t>
  </si>
  <si>
    <t>Other Staff of Entities</t>
  </si>
  <si>
    <t>Cash backing/surplus reconciliation</t>
  </si>
  <si>
    <t>2. CTBM = conditions to be met</t>
  </si>
  <si>
    <t>TOTAL TRANSFERS AND GRANTS REVENUE</t>
  </si>
  <si>
    <t>Surplus(shortfall)</t>
  </si>
  <si>
    <t>Other</t>
  </si>
  <si>
    <t>Long-Term Loans (non-annuity)</t>
  </si>
  <si>
    <t>Long Term Borrowing/ Funds &amp; Reserves</t>
  </si>
  <si>
    <t>check balance</t>
  </si>
  <si>
    <t>CASH FLOWS FROM INVESTING ACTIVITIES</t>
  </si>
  <si>
    <t>3. Council approval for policy required - include sufficient working capital (e.g. allowing for a % of current debtors &gt; 90 days as uncollectable)</t>
  </si>
  <si>
    <t>List other revenues sources if applicable</t>
  </si>
  <si>
    <t>5. Council approval required for each reserve created and basis of cash backing of reserves</t>
  </si>
  <si>
    <t>4. For example: sinking fund requirements for borrowing</t>
  </si>
  <si>
    <t>Definition of poor household (R per month)</t>
  </si>
  <si>
    <t>Total new housing dwellings</t>
  </si>
  <si>
    <t>Other Cash Flows/Payments by Type</t>
  </si>
  <si>
    <t>5. Total transfers and grants must reconcile to Budgeted Cash Flows</t>
  </si>
  <si>
    <t>Year</t>
  </si>
  <si>
    <t>1. Each transfer/grant is listed by name as gazetted together with the name of the transferring department or municipality, donor or other organisation</t>
  </si>
  <si>
    <t>EXPENDITURE:</t>
  </si>
  <si>
    <t>Capital transfers and grants:</t>
  </si>
  <si>
    <t>Operating transfers and grants:</t>
  </si>
  <si>
    <t>TOTAL TRANSFERS AND GRANTS</t>
  </si>
  <si>
    <t>Average rate</t>
  </si>
  <si>
    <t>Is balance rated by uniform rate/variable rate?</t>
  </si>
  <si>
    <t>Table A4</t>
  </si>
  <si>
    <t>Table A5</t>
  </si>
  <si>
    <t>Table A6</t>
  </si>
  <si>
    <t>Table A8</t>
  </si>
  <si>
    <t>Head5A</t>
  </si>
  <si>
    <t>Outcome</t>
  </si>
  <si>
    <t>2. Airports, Car Parks, Bus Terminals and Taxi Ranks</t>
  </si>
  <si>
    <t>Transportation</t>
  </si>
  <si>
    <t>Other Land</t>
  </si>
  <si>
    <t>Other Buildings</t>
  </si>
  <si>
    <t>4. Work-in-progress/under construction to be budgeted under the respective item</t>
  </si>
  <si>
    <t>List of each offical with packages &gt;= senior manager</t>
  </si>
  <si>
    <t>Total for municipal entities</t>
  </si>
  <si>
    <t>External mechanism</t>
  </si>
  <si>
    <t>Name of organisation</t>
  </si>
  <si>
    <t>Expiry date of service delivery agreement or contract</t>
  </si>
  <si>
    <t>Period of agreement 1.</t>
  </si>
  <si>
    <t>Service provided</t>
  </si>
  <si>
    <t>Monetary value of agreement 2.</t>
  </si>
  <si>
    <t>2. Annual value</t>
  </si>
  <si>
    <t>Disclosure of Salaries, Allowances &amp; Benefits 1.</t>
  </si>
  <si>
    <t>Mayor and Council</t>
  </si>
  <si>
    <t>Municipal Manager</t>
  </si>
  <si>
    <t>Human Resources</t>
  </si>
  <si>
    <t>Information Technology</t>
  </si>
  <si>
    <t>% of Creditors Paid Within Terms (within`MFMA' s 65(e))</t>
  </si>
  <si>
    <t>Libraries</t>
  </si>
  <si>
    <t>Description of financial indicator</t>
  </si>
  <si>
    <t>Electricity Distribution Losses (2)</t>
  </si>
  <si>
    <t>Investment payments</t>
  </si>
  <si>
    <t>Borrowings &amp; investments &amp; c.deposits</t>
  </si>
  <si>
    <t>Interest</t>
  </si>
  <si>
    <t>10. Substantiation of National/Province allocations included in budget</t>
  </si>
  <si>
    <t>Gearing</t>
  </si>
  <si>
    <t>Safety of Capital</t>
  </si>
  <si>
    <t>Liquidity</t>
  </si>
  <si>
    <t>Liquidity Ratio</t>
  </si>
  <si>
    <t>Head36</t>
  </si>
  <si>
    <t>Head37</t>
  </si>
  <si>
    <t>Head38</t>
  </si>
  <si>
    <r>
      <t>Multi-year expenditure</t>
    </r>
    <r>
      <rPr>
        <b/>
        <i/>
        <sz val="8"/>
        <rFont val="Arial Narrow"/>
        <family val="2"/>
      </rPr>
      <t xml:space="preserve"> to be appropriated</t>
    </r>
  </si>
  <si>
    <t>Total operating transfers and grants revenue</t>
  </si>
  <si>
    <t>Total operating transfers and grants - CTBM</t>
  </si>
  <si>
    <t>Total capital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</si>
  <si>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</si>
  <si>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</si>
  <si>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</si>
  <si>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</si>
  <si>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</si>
  <si>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</si>
  <si>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</si>
  <si>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</si>
  <si>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</si>
  <si>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1. Total investments must reconcile to all items in Table SA15 for the Current Year (30 June)</t>
  </si>
  <si>
    <t>No. of objections by rate-payers</t>
  </si>
  <si>
    <t>No. of appeals by rate-payers</t>
  </si>
  <si>
    <t>No. of appeals by rate-payers finalised</t>
  </si>
  <si>
    <t>No. of objections by rate payers</t>
  </si>
  <si>
    <t>No. of appeals by rate payers</t>
  </si>
  <si>
    <t>Borrowing/Capital expenditure excl. transfers and grants and contributions</t>
  </si>
  <si>
    <t>% Volume (units purchased and generated less units sold)/units purchased and generated</t>
  </si>
  <si>
    <t>% Volume (units purchased and own source less units sold)/Total units purchased and own source</t>
  </si>
  <si>
    <t>Less: Provision for debt impairment</t>
  </si>
  <si>
    <t>Other Revenue by source</t>
  </si>
  <si>
    <t>Minimum Service Level and Above sub-total</t>
  </si>
  <si>
    <t>Sanitation (free minimum level service)</t>
  </si>
  <si>
    <t>Refuse (removed at least once a week)</t>
  </si>
  <si>
    <t>Electricity (kwh per household per month)</t>
  </si>
  <si>
    <t>Revenue cost of free services provided (R'000)</t>
  </si>
  <si>
    <t>Property rates (R15 000 threshold rebate)</t>
  </si>
  <si>
    <t>Municipal Housing - rental rebates</t>
  </si>
  <si>
    <t>Housing - top structure subsidies</t>
  </si>
  <si>
    <t>Total revenue cost of free services provided (total social package)</t>
  </si>
  <si>
    <t>Increase (decrease) in consumer deposits</t>
  </si>
  <si>
    <t>Multi-year expenditure appropriation</t>
  </si>
  <si>
    <t>10. Ambulances, fire engines, refuse vehicles - but not vehicles that would normally be classified as 'Plant and equipment'</t>
  </si>
  <si>
    <t xml:space="preserve">  Infrastructure - Road transport</t>
  </si>
  <si>
    <t xml:space="preserve">  Infrastructure - Water</t>
  </si>
  <si>
    <t xml:space="preserve">  Infrastructure - Sanitation</t>
  </si>
  <si>
    <t>Repairs and Maintenance by Asset Class</t>
  </si>
  <si>
    <t>Cost of Free Basic Services provided (R'000)</t>
  </si>
  <si>
    <t>1. Total agreement period from commencement until end</t>
  </si>
  <si>
    <t>Total sources of capital funds</t>
  </si>
  <si>
    <t>Other working capital requirements</t>
  </si>
  <si>
    <t>Long term investments committed</t>
  </si>
  <si>
    <t>Head48</t>
  </si>
  <si>
    <t>NET INCREASE/(DECREASE) IN CASH HELD</t>
  </si>
  <si>
    <t>Estimate</t>
  </si>
  <si>
    <t>Contract 1</t>
  </si>
  <si>
    <t>Contract 2</t>
  </si>
  <si>
    <t>Contract 3 etc</t>
  </si>
  <si>
    <t>Repairs and maintenance</t>
  </si>
  <si>
    <t>Loss on disposal of PPE</t>
  </si>
  <si>
    <t>Current Year 2006/07</t>
  </si>
  <si>
    <t>Head1A</t>
  </si>
  <si>
    <t>A</t>
  </si>
  <si>
    <t>Implementation time of new valuation roll (mths)</t>
  </si>
  <si>
    <t>Rates policy accompanying budget? (Y/N)</t>
  </si>
  <si>
    <t>Municipal by-laws s6 in place? (Y/N)</t>
  </si>
  <si>
    <t>No. of properties</t>
  </si>
  <si>
    <t>No. of sectional title values</t>
  </si>
  <si>
    <t>No. of unreasonably difficult properties s7(2)</t>
  </si>
  <si>
    <t>Formal &amp; Informal Settle.</t>
  </si>
  <si>
    <t>State trust land</t>
  </si>
  <si>
    <t>National Monum/ts</t>
  </si>
  <si>
    <t>Fixed amount minimum value (R'000)</t>
  </si>
  <si>
    <t>Rebates, exemptions - indigent (R'000)</t>
  </si>
  <si>
    <t>MONTHLY CASH FLOWS</t>
  </si>
  <si>
    <t>Unit of measurement</t>
  </si>
  <si>
    <t>Nov.</t>
  </si>
  <si>
    <t>Dec.</t>
  </si>
  <si>
    <t>Feb.</t>
  </si>
  <si>
    <t>check capital balance</t>
  </si>
  <si>
    <t>Accumulated Surplus/(Deficit)</t>
  </si>
  <si>
    <t>Yes</t>
  </si>
  <si>
    <t>Ref</t>
  </si>
  <si>
    <t>Preceding Years</t>
  </si>
  <si>
    <t>Expenditure by Vote</t>
  </si>
  <si>
    <t>Revenue - Standard</t>
  </si>
  <si>
    <t>Expenditure - Standard</t>
  </si>
  <si>
    <t>Standard nomenclature</t>
  </si>
  <si>
    <t>MFMA section</t>
  </si>
  <si>
    <t>18(1)a</t>
  </si>
  <si>
    <t>18(1)c</t>
  </si>
  <si>
    <t>Surplus/(Deficit) after capital transfers &amp; contributions</t>
  </si>
  <si>
    <t>3. Assign share in 'associate' to relevant Vote</t>
  </si>
  <si>
    <t>1. Government Finance Statistics Functions and Sub-functions are standardised to assist national and international accounts and comparison</t>
  </si>
  <si>
    <t>2. Must reconcile to Financial Performance ('Revenue and Expenditure by Standard Classification' and 'Revenue and Expenditure')</t>
  </si>
  <si>
    <t>Total Renewal of Existing Assets</t>
  </si>
  <si>
    <t>Total Property Rates</t>
  </si>
  <si>
    <t>less Revenue Foregone</t>
  </si>
  <si>
    <t>Net Property Rates</t>
  </si>
  <si>
    <t>Renewal of Existing Assets</t>
  </si>
  <si>
    <t>Repairs and Maintenance</t>
  </si>
  <si>
    <t>Positions</t>
  </si>
  <si>
    <t>Contract employees</t>
  </si>
  <si>
    <t>Municipal Council and Boards of Municipal Entities</t>
  </si>
  <si>
    <t>2. Total Revenue by standard classification must reconcile to Total Operating Revenue shown in Budgeted Financial Performance (revenue and expenditure)</t>
  </si>
  <si>
    <t>3. Total Expenditure by Standard Classification must reconcile to Total Operating Expenditure shown in Budgeted Financial Performance (revenue and expenditure)</t>
  </si>
  <si>
    <t>4. Detail to be provided in Table SA3. Includes reserves to be funded by statute.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</si>
  <si>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</si>
  <si>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</si>
  <si>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</si>
  <si>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</si>
  <si>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5. Must reconcile to 'Budgeted Financial Position' (written down value)</t>
  </si>
  <si>
    <t>6. Donated/contributed and assets funded by finance leases to be allocated to the respective category</t>
  </si>
  <si>
    <t>Public contributions &amp; donations</t>
  </si>
  <si>
    <t>Share of surplus/ (deficit) of associate</t>
  </si>
  <si>
    <t xml:space="preserve">    mayor, deputy mayor, member of mayoral committee, the councillor designated to exercise powers and duties of mayor (MSA s 57)</t>
  </si>
  <si>
    <t>Executive Committee</t>
  </si>
  <si>
    <t>Total for all other councillors</t>
  </si>
  <si>
    <t>Nat. or Prov. Govt</t>
  </si>
  <si>
    <t>Multi-year capital</t>
  </si>
  <si>
    <t>Original Budget</t>
  </si>
  <si>
    <t>Growth guideline maximum</t>
  </si>
  <si>
    <t>Conditions still to be met - transferred to liabilities</t>
  </si>
  <si>
    <t>Check opex</t>
  </si>
  <si>
    <t>Check capex</t>
  </si>
  <si>
    <t>Prior Adjusted</t>
  </si>
  <si>
    <t>Interest earned - external investments</t>
  </si>
  <si>
    <t>Interest earned - outstanding debtors</t>
  </si>
  <si>
    <t>Fines</t>
  </si>
  <si>
    <t>Licences and permits</t>
  </si>
  <si>
    <t>Gains on disposal of PPE</t>
  </si>
  <si>
    <t>Employee related costs</t>
  </si>
  <si>
    <t>Collection costs</t>
  </si>
  <si>
    <t>Bulk purchases</t>
  </si>
  <si>
    <t>Contracted services</t>
  </si>
  <si>
    <t>General expenses</t>
  </si>
  <si>
    <t>1. Positive cash balances indicative of minimum compliance - subject to 2</t>
  </si>
  <si>
    <t>Budgeted Financial Performance</t>
  </si>
  <si>
    <t>Forecast Financial Performance</t>
  </si>
  <si>
    <t>SFPerf1</t>
  </si>
  <si>
    <t>SFPerf2</t>
  </si>
  <si>
    <t>SFPos1</t>
  </si>
  <si>
    <t>SFPos2</t>
  </si>
  <si>
    <t>Budgeted Financial Position</t>
  </si>
  <si>
    <t>DC44 Alfred Nzo</t>
  </si>
  <si>
    <t>Outstanding Debtors to Revenue</t>
  </si>
  <si>
    <t>Funded by:</t>
  </si>
  <si>
    <t>Internally generated funds</t>
  </si>
  <si>
    <t>Employee costs</t>
  </si>
  <si>
    <t>Choose</t>
  </si>
  <si>
    <t>ACT</t>
  </si>
  <si>
    <t>C</t>
  </si>
  <si>
    <t>Revenue cost of free services provided</t>
  </si>
  <si>
    <r>
      <t>Less</t>
    </r>
    <r>
      <rPr>
        <u/>
        <sz val="8"/>
        <rFont val="Arial"/>
        <family val="2"/>
      </rPr>
      <t>: Employees costs capitalised to PPE</t>
    </r>
  </si>
  <si>
    <t>7. Including repairs and maintenance to agricultural, biological and intangible assets</t>
  </si>
  <si>
    <t>Materials and bulk purchases</t>
  </si>
  <si>
    <t>Investment revenue</t>
  </si>
  <si>
    <t>Cemeteries</t>
  </si>
  <si>
    <t>Housing development</t>
  </si>
  <si>
    <t>Swimming pools</t>
  </si>
  <si>
    <t>Using public tap (&lt; min.service level)</t>
  </si>
  <si>
    <t>Other water supply (&lt; min.service level)</t>
  </si>
  <si>
    <t>Electricity - prepaid (min.service level)</t>
  </si>
  <si>
    <t>Electricity (&lt; min.service level)</t>
  </si>
  <si>
    <t>Electricity - prepaid (&lt; min. service level)</t>
  </si>
  <si>
    <t>1. Include services provided by another entity; e.g. Eskom</t>
  </si>
  <si>
    <t>2. Stand distance &lt;= 200m from dwelling</t>
  </si>
  <si>
    <t>3. Stand distance &gt; 200m from dwelling</t>
  </si>
  <si>
    <t>4. Borehole, spring, rain-water tank etc.</t>
  </si>
  <si>
    <t>5. Must agree to total number of households in municipal area</t>
  </si>
  <si>
    <t>6. Include value of subsidy provided by municipality above provincial subsidy level</t>
  </si>
  <si>
    <t>Capital expenditure - Vote</t>
  </si>
  <si>
    <t>Dwellings provided by province/s</t>
  </si>
  <si>
    <t>1,3</t>
  </si>
  <si>
    <t>Rebates, exemptions - pensioners (R'000)</t>
  </si>
  <si>
    <t>Rebates, exemptions - bona fide farm. (R'000)</t>
  </si>
  <si>
    <t>Rebates, exemptions - other (R'000)</t>
  </si>
  <si>
    <t>Public service infrastructure value (Rm)</t>
  </si>
  <si>
    <t>Valuation reductions-public infrastructure (Rm)</t>
  </si>
  <si>
    <t>Valuation reductions-nature reserves/park (Rm)</t>
  </si>
  <si>
    <t>Valuation reductions-mineral rights (Rm)</t>
  </si>
  <si>
    <t>Valuation reductions-R15,000 threshold (Rm)</t>
  </si>
  <si>
    <t>Valuation reductions-public worship (Rm)</t>
  </si>
  <si>
    <t>Valuation reductions-other (Rm)</t>
  </si>
  <si>
    <t>Non-residential prescribed ratio s19? (%)</t>
  </si>
  <si>
    <t>Remuneration of councillors</t>
  </si>
  <si>
    <t>1. Land &amp; Assistance Act, Restitution of Land Rights, Communual Property Associations</t>
  </si>
  <si>
    <t>2. Include value of additional reductions is 'free' value greater than MPRA minimum.</t>
  </si>
  <si>
    <t>3. Average rate - cents in  the Rand. Eg 10.26 cents in the Rand is 0.1026, expressed to 6 decimal places maximum</t>
  </si>
  <si>
    <t>4. Include arrears collections</t>
  </si>
  <si>
    <t>Infrastructure - Road transport</t>
  </si>
  <si>
    <t>Roads, Pavements &amp; Bridges</t>
  </si>
  <si>
    <t>Storm water</t>
  </si>
  <si>
    <t>Renewal and R&amp;M as a % of PPE</t>
  </si>
  <si>
    <t>EXPENDITURE ITEMS:</t>
  </si>
  <si>
    <t>REVENUE ITEMS:</t>
  </si>
  <si>
    <t>Property rates</t>
  </si>
  <si>
    <t>NOTE: This sheet should not be directly amended - select headings from sheet 'S'</t>
  </si>
  <si>
    <t>Provincial Government</t>
  </si>
  <si>
    <t>District Municipality</t>
  </si>
  <si>
    <t>Column Definitions:</t>
  </si>
  <si>
    <t>D</t>
  </si>
  <si>
    <t>LTFS</t>
  </si>
  <si>
    <t>Check</t>
  </si>
  <si>
    <t>check investment balance</t>
  </si>
  <si>
    <t>Investments by Maturity</t>
  </si>
  <si>
    <t>Name of institution &amp; investment ID</t>
  </si>
  <si>
    <t>Period of Investment</t>
  </si>
  <si>
    <t>Type of Investment</t>
  </si>
  <si>
    <t>Expiry date of investment</t>
  </si>
  <si>
    <t>Monetary value</t>
  </si>
  <si>
    <t>Interest to be realised</t>
  </si>
  <si>
    <t>check borrowing balance</t>
  </si>
  <si>
    <t>Instalment Credit</t>
  </si>
  <si>
    <t>Financial Leases</t>
  </si>
  <si>
    <t>H</t>
  </si>
  <si>
    <t>I</t>
  </si>
  <si>
    <t>Other Managers</t>
  </si>
  <si>
    <t>Debtors &gt; 12 Mths Recovered/Total Debtors &gt; 12 Months Old</t>
  </si>
  <si>
    <t>TOTAL INVESTMENTS AND INTEREST</t>
  </si>
  <si>
    <t>TOTAL EXPENDITURE OF TRANSFERS AND GRANTS</t>
  </si>
  <si>
    <t>TOTAL SALARY, ALLOWANCES &amp; BENEFITS</t>
  </si>
  <si>
    <t>Transfer receipts - capital</t>
  </si>
  <si>
    <t>Transfer receipts - operational</t>
  </si>
  <si>
    <t xml:space="preserve">Economic Development/Planning </t>
  </si>
  <si>
    <t>Non current assets</t>
  </si>
  <si>
    <t>LIABILITIES</t>
  </si>
  <si>
    <t>Non current liabilities</t>
  </si>
  <si>
    <t>Total non current liabilities</t>
  </si>
  <si>
    <t>Total current liabilities</t>
  </si>
  <si>
    <t>Total non current assets</t>
  </si>
  <si>
    <t>Total current assets</t>
  </si>
  <si>
    <t>COMMUNITY WEALTH/EQUITY</t>
  </si>
  <si>
    <t>NET ASSETS</t>
  </si>
  <si>
    <t>TOTAL ASSETS</t>
  </si>
  <si>
    <t>3. Previously described as 'bad or doubtful debts' - amounts shown should reflect the change in the provision for debt impairment</t>
  </si>
  <si>
    <t>4. Expenditure type components previously shown under repairs and maintenance should be allocated back to the originating expenditure group/item; e.g. employee costs</t>
  </si>
  <si>
    <t>Interest - external investments</t>
  </si>
  <si>
    <t>Interest - debtors</t>
  </si>
  <si>
    <t>Revenue from agency services</t>
  </si>
  <si>
    <t>Other provisions</t>
  </si>
  <si>
    <t>Investment type</t>
  </si>
  <si>
    <t>3. Replacement of RSC levies</t>
  </si>
  <si>
    <t>Other grant providers:</t>
  </si>
  <si>
    <t>Capital Charges to Operating Expenditure</t>
  </si>
  <si>
    <t>Current Ratio</t>
  </si>
  <si>
    <t>Head51</t>
  </si>
  <si>
    <t>Head52</t>
  </si>
  <si>
    <t>Head53</t>
  </si>
  <si>
    <t>Head54</t>
  </si>
  <si>
    <t>Accum. Funds</t>
  </si>
  <si>
    <t>Other Adjusts.</t>
  </si>
  <si>
    <t>Unfore. Unavoid.</t>
  </si>
  <si>
    <t>Repairs &amp; Maintenance</t>
  </si>
  <si>
    <t>R&amp;M/(Total Revenue excluding capital revenue)</t>
  </si>
  <si>
    <t>FC&amp;D/(Total Revenue - capital revenue)</t>
  </si>
  <si>
    <t>Total Capital Expenditure</t>
  </si>
  <si>
    <t>Transfers received</t>
  </si>
  <si>
    <t xml:space="preserve">Compensation of employees </t>
  </si>
  <si>
    <t xml:space="preserve">Goods and services </t>
  </si>
  <si>
    <t>Interest, dividends and rent on land</t>
  </si>
  <si>
    <t>Dividends</t>
  </si>
  <si>
    <t>Rent on land</t>
  </si>
  <si>
    <t>Transfers and subsidies</t>
  </si>
  <si>
    <t>Administrative fees</t>
  </si>
  <si>
    <t>International organisations</t>
  </si>
  <si>
    <t>Public corporations and private enterprises</t>
  </si>
  <si>
    <t>Fines, penalties and forfeits</t>
  </si>
  <si>
    <t>Land and subsoil assets</t>
  </si>
  <si>
    <t>Equity</t>
  </si>
  <si>
    <r>
      <t xml:space="preserve">Other </t>
    </r>
    <r>
      <rPr>
        <i/>
        <sz val="8"/>
        <rFont val="Arial Narrow"/>
        <family val="2"/>
      </rPr>
      <t>(list sub-class)</t>
    </r>
  </si>
  <si>
    <t>Other capital assets</t>
  </si>
  <si>
    <t>Financial transactions in assets and liabilities</t>
  </si>
  <si>
    <t>Tax receipts</t>
  </si>
  <si>
    <t>Sale of goods &amp; services (excl. capital assets)</t>
  </si>
  <si>
    <t>Total receipts</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</si>
  <si>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</si>
  <si>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</si>
  <si>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</si>
  <si>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</si>
  <si>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1. Total capital transfers and grants revenue must reconcile to Budgeted Financial Performance and Financial Position; total recurrent grants revenue must reconcile to Budgeted Financial Performance</t>
  </si>
  <si>
    <t>Total capital transfers and grants revenue</t>
  </si>
  <si>
    <t xml:space="preserve">Town Planning/Building enforcement </t>
  </si>
  <si>
    <t>Tourism</t>
  </si>
  <si>
    <t>Ambulance</t>
  </si>
  <si>
    <t>General vehicles</t>
  </si>
  <si>
    <t>Computers - hardware/equipment</t>
  </si>
  <si>
    <t>Furniture and other office equipment</t>
  </si>
  <si>
    <t>Surplus Assets - (Investment or Inventory)</t>
  </si>
  <si>
    <t>Table A10</t>
  </si>
  <si>
    <t>Charts 1, 2, 3, 4</t>
  </si>
  <si>
    <t>Charts 5, 6</t>
  </si>
  <si>
    <t>Chts 15-19</t>
  </si>
  <si>
    <t>Charts 7, 8, 9, 10, 20</t>
  </si>
  <si>
    <t>Quarter ended 30 June</t>
  </si>
  <si>
    <t>Head35</t>
  </si>
  <si>
    <t>Quarter ended 30 September</t>
  </si>
  <si>
    <t>Quarter ended 31 December</t>
  </si>
  <si>
    <t>Quarter ended 31 March</t>
  </si>
  <si>
    <t>Description of economic indicator</t>
  </si>
  <si>
    <t>Head44</t>
  </si>
  <si>
    <t>Head45</t>
  </si>
  <si>
    <t>2001 Census</t>
  </si>
  <si>
    <t>1996 Census</t>
  </si>
  <si>
    <t>Demographics</t>
  </si>
  <si>
    <t>1. Insert 'Vote'; e.g. Department, if different to standard structure</t>
  </si>
  <si>
    <t>4, 5</t>
  </si>
  <si>
    <t>Electricity</t>
  </si>
  <si>
    <t>Year10</t>
  </si>
  <si>
    <t>Year11</t>
  </si>
  <si>
    <t>Year12</t>
  </si>
  <si>
    <t>Year13</t>
  </si>
  <si>
    <t>Year14</t>
  </si>
  <si>
    <t>Year15</t>
  </si>
  <si>
    <t>Financial year valuation used</t>
  </si>
  <si>
    <t>Valuation appeal board established? (Y/N)</t>
  </si>
  <si>
    <t>Total rebates,exemptns,reductns,discs (R'000)</t>
  </si>
  <si>
    <t>7. Included in rate revenue budget</t>
  </si>
  <si>
    <t>Rate revenue:</t>
  </si>
  <si>
    <t>R million</t>
  </si>
  <si>
    <t>R thousand</t>
  </si>
  <si>
    <t>Refuse removal</t>
  </si>
  <si>
    <t>Revenue By Source</t>
  </si>
  <si>
    <t>Change in consumer debtors (current and non-current)</t>
  </si>
  <si>
    <t>Head5B</t>
  </si>
  <si>
    <t>Pre-audit outcome</t>
  </si>
  <si>
    <t>Trend</t>
  </si>
  <si>
    <t>7. Realistic average increase in debt impairment (doubtful debt) provision</t>
  </si>
  <si>
    <t>13. Indicative of a credible allowance for repairs &amp; maintenance of assets - functioning assets revenue protection</t>
  </si>
  <si>
    <t>14. Indicative of a credible allowance for asset renewal (requires analysis of asset renewal projects as % of total capital projects - detailed capital plan) - functioning assets revenue protection</t>
  </si>
  <si>
    <t>2 = partial compliance (schedule/table presented with approximately 50% of information displayed)</t>
  </si>
  <si>
    <t>Combination of rating types used? (Y/N)</t>
  </si>
  <si>
    <t>Flat rate used? (Y/N)</t>
  </si>
  <si>
    <t>Entities</t>
  </si>
  <si>
    <t>TOTAL PERSONNEL NUMBERS</t>
  </si>
  <si>
    <t>2. s57 of the Systems Act</t>
  </si>
  <si>
    <t>Summary of Personnel Numbers</t>
  </si>
  <si>
    <t>Total Contract Value</t>
  </si>
  <si>
    <t>3. Indicative of sufficient liquidity to meet average monthly operating payments</t>
  </si>
  <si>
    <t>4. Indicative of funded operational requirements</t>
  </si>
  <si>
    <t>3. For municipalities with approved total revenue not exceeding R250 m - all contracts with an annual cost greater than R500 000. For municipalities with approved total revenue greater than R250 m - all contracts with an annual cost greater than R1million. For municipalities with approved total revenue greater than R500 m - all contracts with an annual cost greater than R5 million</t>
  </si>
  <si>
    <t>Sanitation (Rand per household per month)</t>
  </si>
  <si>
    <t>Energy:</t>
  </si>
  <si>
    <t>Other energy sources</t>
  </si>
  <si>
    <t xml:space="preserve">  Infrastructure - Other</t>
  </si>
  <si>
    <t>Refuse (average litres per week)</t>
  </si>
  <si>
    <t>Refuse:</t>
  </si>
  <si>
    <t>Removed less frequently than once a week</t>
  </si>
  <si>
    <t>Using communal refuse dump</t>
  </si>
  <si>
    <t>Decrease (increase) other non-current receivables</t>
  </si>
  <si>
    <t>Decrease (increase) in non-current investments</t>
  </si>
  <si>
    <t>NET CASH FROM/(USED) OPERATING ACTIVITIES</t>
  </si>
  <si>
    <t>NET CASH FROM/(USED) INVESTING ACTIVITIES</t>
  </si>
  <si>
    <t>Consultant fees</t>
  </si>
  <si>
    <t>Audit fees</t>
  </si>
  <si>
    <t>Cash</t>
  </si>
  <si>
    <t>Current portion of long-term receivables</t>
  </si>
  <si>
    <t>Trade and other payables</t>
  </si>
  <si>
    <t>Short term loans (other than bank overdraft)</t>
  </si>
  <si>
    <t>November</t>
  </si>
  <si>
    <t>December</t>
  </si>
  <si>
    <t>January</t>
  </si>
  <si>
    <t>February</t>
  </si>
  <si>
    <t>March</t>
  </si>
  <si>
    <t>April</t>
  </si>
  <si>
    <t>May</t>
  </si>
  <si>
    <t>June</t>
  </si>
  <si>
    <t>Bulk purchases - Electricity</t>
  </si>
  <si>
    <t>Total Cash Receipts by Source</t>
  </si>
  <si>
    <t>Total Cash Payments by Type</t>
  </si>
  <si>
    <t>Bulk purchases - Water &amp; Sewer</t>
  </si>
  <si>
    <t>Grants % of Govt. legislated/gazetted allocations</t>
  </si>
  <si>
    <t>Current consumer debtors % change - incr(decr)</t>
  </si>
  <si>
    <t>APP</t>
  </si>
  <si>
    <t>ADJ</t>
  </si>
  <si>
    <t>Speaker</t>
  </si>
  <si>
    <t>Executive Mayor</t>
  </si>
  <si>
    <t>Museums &amp; Art Galleries</t>
  </si>
  <si>
    <t>July</t>
  </si>
  <si>
    <t>Remuneration</t>
  </si>
  <si>
    <t>Total remuneration/(Total Revenue - capital revenue)</t>
  </si>
  <si>
    <t>Consumption growth (electricity)</t>
  </si>
  <si>
    <t>Consumption growth (water)</t>
  </si>
  <si>
    <t>Pollution Control</t>
  </si>
  <si>
    <t>Biodiversity &amp; Landscape</t>
  </si>
  <si>
    <t>Solid Waste</t>
  </si>
  <si>
    <t>Sewerage</t>
  </si>
  <si>
    <t>Storm Water Management</t>
  </si>
  <si>
    <t>Public Toilets</t>
  </si>
  <si>
    <t>Roads</t>
  </si>
  <si>
    <t>Public Buses</t>
  </si>
  <si>
    <t>Parking Garages</t>
  </si>
  <si>
    <t>Water Distribution</t>
  </si>
  <si>
    <t>Water Storage</t>
  </si>
  <si>
    <t>Electricity Distribution</t>
  </si>
  <si>
    <t>Set name on 'Instructions' sheet</t>
  </si>
  <si>
    <t>Highest level of free service provided</t>
  </si>
  <si>
    <t>Property rates (other exemptions, reductions and rebates)</t>
  </si>
  <si>
    <t>Removed at least once a week</t>
  </si>
  <si>
    <t xml:space="preserve">Total cost of FBS provided (minimum social package) </t>
  </si>
  <si>
    <t>7. Show number of households receiving at least these levels of services completely free</t>
  </si>
  <si>
    <t>Total outstanding service debtors/annual revenue received for services</t>
  </si>
  <si>
    <t>No. of successful objections &gt; 10%</t>
  </si>
  <si>
    <t>No. of supplementary valuations</t>
  </si>
  <si>
    <t>No. of valuation roll amendments</t>
  </si>
  <si>
    <t xml:space="preserve">  Infrastructure - Electricity</t>
  </si>
  <si>
    <t>Reserves</t>
  </si>
  <si>
    <t>Head1</t>
  </si>
  <si>
    <t>Differential rates used? (Y/N)</t>
  </si>
  <si>
    <t>Limit on annual rate increase (s20)? (Y/N)</t>
  </si>
  <si>
    <t>Special rating area used? (Y/N)</t>
  </si>
  <si>
    <t>Date of valuation:</t>
  </si>
  <si>
    <t>Valuation:</t>
  </si>
  <si>
    <t>Municipal partnership s38 used? (Y/N)</t>
  </si>
  <si>
    <t>No. of successful objections</t>
  </si>
  <si>
    <t>Performance  Bonuses</t>
  </si>
  <si>
    <t>A Heading for Each Entity</t>
  </si>
  <si>
    <t>Councillors (Political Office Bearers plus Other)</t>
  </si>
  <si>
    <t>Medical Aid Contributions</t>
  </si>
  <si>
    <t>Sub Total - Councillors</t>
  </si>
  <si>
    <t>Performance Bonus</t>
  </si>
  <si>
    <t>Sub Total - Senior Managers of Municipality</t>
  </si>
  <si>
    <t>Other Municipal Staff</t>
  </si>
  <si>
    <t>Total 'Other' Expenditure</t>
  </si>
  <si>
    <t>1. Must reconcile with 'Budgeted Financial Performance (Revenue and Expenditure)</t>
  </si>
  <si>
    <t>4. Expenditure to meet any 'unfunded obligations'</t>
  </si>
  <si>
    <t>3. Insert other categories where revenue or expenditure is of a material nature (list separate items until 'General expenses' is not &gt; 10% of Total Expenditure)</t>
  </si>
  <si>
    <t>4. Borrowing must reconcile to Table A17</t>
  </si>
  <si>
    <t>Description</t>
  </si>
  <si>
    <t>Total</t>
  </si>
  <si>
    <t>YTD  Actual 31 Dec</t>
  </si>
  <si>
    <t>YTD  Budget 31 Dec</t>
  </si>
  <si>
    <t>Total billable revenue</t>
  </si>
  <si>
    <t>Rand per annum</t>
  </si>
  <si>
    <t>2</t>
  </si>
  <si>
    <t>Head2A</t>
  </si>
  <si>
    <t>Total Capital Funding</t>
  </si>
  <si>
    <t>PPP liabilities</t>
  </si>
  <si>
    <t>Financial derivatives</t>
  </si>
  <si>
    <t>Investment in Associate</t>
  </si>
  <si>
    <t>Calculation data</t>
  </si>
  <si>
    <t>5. Indicative of adherence to macro-economic targets (prior to 2003/04 revenue not available for high capacity municipalities and later for other capacity classifications)</t>
  </si>
  <si>
    <t>Transfers and grants</t>
  </si>
  <si>
    <t>2. Detail to be provided in Table SA1</t>
  </si>
  <si>
    <t>Creditors Management</t>
  </si>
  <si>
    <t>Creditors System Efficiency</t>
  </si>
  <si>
    <t>Other Indicators</t>
  </si>
  <si>
    <t>Borrowing Management</t>
  </si>
  <si>
    <t>1. Table should be completed as either Multi-Year expenditure appropriation or Budget Year and Forward Year estimates</t>
  </si>
  <si>
    <t>Civil Defence</t>
  </si>
  <si>
    <t>VAT on Services</t>
  </si>
  <si>
    <t>Rates and services charges:</t>
  </si>
  <si>
    <t>Borrowing long term/refinancing</t>
  </si>
  <si>
    <t>2007/08 Medium Term Revenue &amp; Expenditure Framework</t>
  </si>
  <si>
    <t>2008/09 Medium Term Revenue &amp; Expenditure Framework</t>
  </si>
  <si>
    <t>2009/10 Medium Term Revenue &amp; Expenditure Framework</t>
  </si>
  <si>
    <t>Forecast Financial Position</t>
  </si>
  <si>
    <t>Cash1</t>
  </si>
  <si>
    <t>Cash2</t>
  </si>
  <si>
    <t>Muni</t>
  </si>
  <si>
    <t>Head1B</t>
  </si>
  <si>
    <t>Head26</t>
  </si>
  <si>
    <t>Vote Description</t>
  </si>
  <si>
    <t>Head27</t>
  </si>
  <si>
    <t>Free services</t>
  </si>
  <si>
    <t>Households below minimum service level</t>
  </si>
  <si>
    <t>Cost of Free Basic Services provided</t>
  </si>
  <si>
    <t>Skilled agricultural and fishery workers</t>
  </si>
  <si>
    <t>Museums &amp; Art Galleries etc</t>
  </si>
  <si>
    <t>Community halls and Facilities</t>
  </si>
  <si>
    <t>Cemeteries &amp; Crematoriums</t>
  </si>
  <si>
    <t>Vehicle Licensing and Testing</t>
  </si>
  <si>
    <t>Contributions recognised - capital</t>
  </si>
  <si>
    <t>List contributions by contract</t>
  </si>
  <si>
    <t>Call deposits &lt; 90 days</t>
  </si>
  <si>
    <t>Less: Accumulated depreciation</t>
  </si>
  <si>
    <t>8. Must reflect the cost to the municipality of providing the Free Basic Service</t>
  </si>
  <si>
    <t xml:space="preserve">1. Note that this section of Table SA 30 is deliberately not linked to Table A4 because timing differences between the invoicing of clients and receiving the cash means that the cashflow will differ from budgeted revenue, and similarly for budgeted expenditure. </t>
  </si>
  <si>
    <t>Water: Consumption</t>
  </si>
  <si>
    <t>Total large household bill:</t>
  </si>
  <si>
    <t>Total small household bill:</t>
  </si>
  <si>
    <t>% incr.</t>
  </si>
  <si>
    <t>No</t>
  </si>
  <si>
    <t>Borrowing - Categorised by type</t>
  </si>
  <si>
    <t>NET CASH FROM/(USED) FINANCING ACTIVITIES</t>
  </si>
  <si>
    <t>Receipts</t>
  </si>
  <si>
    <t>Payments</t>
  </si>
  <si>
    <t>Repayment of borrowing</t>
  </si>
  <si>
    <t>Short term loans</t>
  </si>
  <si>
    <t>GT481 Mogale City</t>
  </si>
  <si>
    <t>GT482 Randfontein</t>
  </si>
  <si>
    <t>GT483 Westonaria</t>
  </si>
  <si>
    <t>MP301 Albert Luthuli</t>
  </si>
  <si>
    <t>MP302 Msukaligwa</t>
  </si>
  <si>
    <t>MP303 Mkhondo</t>
  </si>
  <si>
    <t>MP305 Lekwa</t>
  </si>
  <si>
    <t>MP306 Dipaleseng</t>
  </si>
  <si>
    <t>MP307 Govan Mbeki</t>
  </si>
  <si>
    <t>MP313 Steve Tshwete</t>
  </si>
  <si>
    <t>MP314 Emakhazeni</t>
  </si>
  <si>
    <t>MP321 Thaba Chweu</t>
  </si>
  <si>
    <t>MP322 Mbombela</t>
  </si>
  <si>
    <t>MP323 Umjindi</t>
  </si>
  <si>
    <t>MP324 Nkomazi</t>
  </si>
  <si>
    <t>MP325 Bushbuckridge</t>
  </si>
  <si>
    <t>NC061 Richtersveld</t>
  </si>
  <si>
    <t>NC062 Nama Khoi</t>
  </si>
  <si>
    <t>NC064 Kamiesberg</t>
  </si>
  <si>
    <t>NC065 Hantam</t>
  </si>
  <si>
    <t>NC066 Karoo Hoogland</t>
  </si>
  <si>
    <t>NC067 Khai-Ma</t>
  </si>
  <si>
    <t>EC144 Gariep</t>
  </si>
  <si>
    <t>EC154 Port St Johns</t>
  </si>
  <si>
    <t>EC155 Nyandeni</t>
  </si>
  <si>
    <t>EC156 Mhlontlo</t>
  </si>
  <si>
    <t>EC157 King Sabata Dalindyebo</t>
  </si>
  <si>
    <t>FS161 Letsemeng</t>
  </si>
  <si>
    <t>FS162 Kopanong</t>
  </si>
  <si>
    <t>FS163 Mohokare</t>
  </si>
  <si>
    <t>FS181 Masilonyana</t>
  </si>
  <si>
    <t>FS182 Tokologo</t>
  </si>
  <si>
    <t>FS183 Tswelopele</t>
  </si>
  <si>
    <t>FS184 Matjhabeng</t>
  </si>
  <si>
    <t>FS185 Nala</t>
  </si>
  <si>
    <t>FS191 Setsoto</t>
  </si>
  <si>
    <t>FS192 Dihlabeng</t>
  </si>
  <si>
    <t>FS193 Nketoana</t>
  </si>
  <si>
    <t>FS195 Phumelela</t>
  </si>
  <si>
    <t>FS201 Moqhaka</t>
  </si>
  <si>
    <t>FS203 Ngwathe</t>
  </si>
  <si>
    <t>check opexp balance</t>
  </si>
  <si>
    <t>2. Refer MFMA s30</t>
  </si>
  <si>
    <t>Present value</t>
  </si>
  <si>
    <t>Forecasts</t>
  </si>
  <si>
    <t>Future operational costs by vote</t>
  </si>
  <si>
    <t>Future revenue by source</t>
  </si>
  <si>
    <t>Net Financial Implications</t>
  </si>
  <si>
    <t>Intangibles</t>
  </si>
  <si>
    <t>Using own refuse dump</t>
  </si>
  <si>
    <t>Other rubbish disposal</t>
  </si>
  <si>
    <t>Municipal Entities</t>
  </si>
  <si>
    <t>Type of report:</t>
  </si>
  <si>
    <t>MTREF Range:</t>
  </si>
  <si>
    <t>Type of Entities Range:</t>
  </si>
  <si>
    <t>3. National Treasury database will require this reconciliation for each transfer/grant</t>
  </si>
  <si>
    <t>Year in which budget is being prepared</t>
  </si>
  <si>
    <t>MTREF name</t>
  </si>
  <si>
    <t>Long term financial strategy</t>
  </si>
  <si>
    <t>1st year of MTREF</t>
  </si>
  <si>
    <t>2nd year of MTREF</t>
  </si>
  <si>
    <t>3rd year of MTREF</t>
  </si>
  <si>
    <t>Surplus/(Deficit) for the year</t>
  </si>
  <si>
    <t>Monetary Assets/Current Liabilities</t>
  </si>
  <si>
    <t>Revenue Management</t>
  </si>
  <si>
    <t>Annual Debtors Collection Rate (Payment Level %)</t>
  </si>
  <si>
    <t>FS204 Metsimaholo</t>
  </si>
  <si>
    <t>FS205 Mafube</t>
  </si>
  <si>
    <t>GT000 Ekurhuleni Metro</t>
  </si>
  <si>
    <t>GT001 City Of Johannesburg</t>
  </si>
  <si>
    <t>GT002 City Of Tshwane</t>
  </si>
  <si>
    <t>GT421 Emfuleni</t>
  </si>
  <si>
    <t>GT422 Midvaal</t>
  </si>
  <si>
    <t>8. All materials not part of 'bulk' e.g  road making materials, pipe, cable etc.</t>
  </si>
  <si>
    <t>6. Motor vehicle licensing refunds to be included under 'agency' services (Not Grant Receipts)</t>
  </si>
  <si>
    <r>
      <t xml:space="preserve">% incr </t>
    </r>
    <r>
      <rPr>
        <i/>
        <sz val="8"/>
        <rFont val="Arial"/>
        <family val="2"/>
      </rPr>
      <t>total service charges (incl prop rates)</t>
    </r>
  </si>
  <si>
    <t>% incr Property Tax</t>
  </si>
  <si>
    <t>Borrowed funding of 'own' capital expenditure</t>
  </si>
  <si>
    <t>Own capex</t>
  </si>
  <si>
    <t>Councillors (Political Office Bearers plus Other Councillors)</t>
  </si>
  <si>
    <t>Cash Receipts By Source</t>
  </si>
  <si>
    <t>3. For example - technology backbones (e.g. fibre optic, WIFI infrastructure) for economic development purposes</t>
  </si>
  <si>
    <t>Board Members of Entities</t>
  </si>
  <si>
    <t>Forecast 2014/15</t>
  </si>
  <si>
    <t>Forecast 2015/16</t>
  </si>
  <si>
    <t>Forecast 2016/17</t>
  </si>
  <si>
    <t>Forecast 2017/18</t>
  </si>
  <si>
    <t>Forecast 2020/21</t>
  </si>
  <si>
    <t>Formal</t>
  </si>
  <si>
    <t>Informal</t>
  </si>
  <si>
    <t>Head28</t>
  </si>
  <si>
    <t>Result</t>
  </si>
  <si>
    <t>Total Capital expenditure</t>
  </si>
  <si>
    <t>2. List investments in expiry date order</t>
  </si>
  <si>
    <t>% increase</t>
  </si>
  <si>
    <t>R&amp;M as a % of PPE</t>
  </si>
  <si>
    <r>
      <t>Single-year expenditure</t>
    </r>
    <r>
      <rPr>
        <b/>
        <i/>
        <sz val="8"/>
        <rFont val="Arial Narrow"/>
        <family val="2"/>
      </rPr>
      <t xml:space="preserve"> to be appropriated</t>
    </r>
  </si>
  <si>
    <t>Other Cash Flows by Source</t>
  </si>
  <si>
    <t>Total sources</t>
  </si>
  <si>
    <t>Budget Cash Flow</t>
  </si>
  <si>
    <t>Service charges - sanitation revenue</t>
  </si>
  <si>
    <t>Service charges - refuse removal</t>
  </si>
  <si>
    <t>Service charges - other</t>
  </si>
  <si>
    <t>CASH FLOW FROM OPERATING ACTIVITIES</t>
  </si>
  <si>
    <t>Cash/cash equivalents at the year begin:</t>
  </si>
  <si>
    <t>2. Cash equivalents includes investments with maturities of 3 months or less</t>
  </si>
  <si>
    <t>Goal Code</t>
  </si>
  <si>
    <t>J</t>
  </si>
  <si>
    <t>K</t>
  </si>
  <si>
    <t>L</t>
  </si>
  <si>
    <t>M</t>
  </si>
  <si>
    <t>N</t>
  </si>
  <si>
    <t>O</t>
  </si>
  <si>
    <t>P</t>
  </si>
  <si>
    <t>Agricultural</t>
  </si>
  <si>
    <t>Biological</t>
  </si>
  <si>
    <t>Intangible</t>
  </si>
  <si>
    <r>
      <t>Expenditure by Vote</t>
    </r>
    <r>
      <rPr>
        <b/>
        <sz val="8"/>
        <rFont val="Arial Narrow"/>
        <family val="2"/>
      </rPr>
      <t xml:space="preserve"> </t>
    </r>
    <r>
      <rPr>
        <b/>
        <i/>
        <sz val="8"/>
        <rFont val="Arial Narrow"/>
        <family val="2"/>
      </rPr>
      <t>to be appropriated</t>
    </r>
  </si>
  <si>
    <t>Permanent employees</t>
  </si>
  <si>
    <r>
      <t>Balance (</t>
    </r>
    <r>
      <rPr>
        <i/>
        <sz val="8"/>
        <rFont val="Arial Narrow"/>
        <family val="2"/>
      </rPr>
      <t>Insert description; eg sinking fund)</t>
    </r>
  </si>
  <si>
    <t>Credit Rating</t>
  </si>
  <si>
    <t>Remuneration of Board Members</t>
  </si>
  <si>
    <t>Water</t>
  </si>
  <si>
    <t>Sanitation</t>
  </si>
  <si>
    <t>Other expenditure</t>
  </si>
  <si>
    <t>Lease amortisation</t>
  </si>
  <si>
    <t>Trade and other creditors</t>
  </si>
  <si>
    <t>Asset register summary (WDV)</t>
  </si>
  <si>
    <t>Security and policing</t>
  </si>
  <si>
    <t>Cash/cash equivalents at the month/year end:</t>
  </si>
  <si>
    <t>Cash/cash equivalents at the month/year begin:</t>
  </si>
  <si>
    <t>Heritage assets</t>
  </si>
  <si>
    <t>Investment properties</t>
  </si>
  <si>
    <t>Other assets</t>
  </si>
  <si>
    <t>Municipal Vote/Capital project</t>
  </si>
  <si>
    <t>Examples</t>
  </si>
  <si>
    <t>1. Pension and medical aid</t>
  </si>
  <si>
    <t>In-kind benefits</t>
  </si>
  <si>
    <t>Total Package</t>
  </si>
  <si>
    <t>Computers - software &amp; programming</t>
  </si>
  <si>
    <t>No water supply</t>
  </si>
  <si>
    <t>Common sheet headings</t>
  </si>
  <si>
    <t>Strategic Objective</t>
  </si>
  <si>
    <t>Infrastructure</t>
  </si>
  <si>
    <t>Head47</t>
  </si>
  <si>
    <t>check op revenue balance</t>
  </si>
  <si>
    <t>check op expenditure balance</t>
  </si>
  <si>
    <t>Cash receipts from ratepayers</t>
  </si>
  <si>
    <t>Capital expenditure excluding capital grant funding</t>
  </si>
  <si>
    <t>Head27a</t>
  </si>
  <si>
    <t>References</t>
  </si>
  <si>
    <t>Net cash from (used) financing</t>
  </si>
  <si>
    <t>Net cash from (used) operating</t>
  </si>
  <si>
    <t>Net cash from (used) investing</t>
  </si>
  <si>
    <t>Asset renewal % of capital budget</t>
  </si>
  <si>
    <t>Parent Municipality:</t>
  </si>
  <si>
    <t>Expenditure Obligation By Contract</t>
  </si>
  <si>
    <t>Capital Expenditure Obligation By Contract</t>
  </si>
  <si>
    <t>Total Operating Expenditure Implication</t>
  </si>
  <si>
    <t>Investment receipts</t>
  </si>
  <si>
    <t>Supporting Table SA10</t>
  </si>
  <si>
    <t>Supporting Table SA11</t>
  </si>
  <si>
    <t>Supporting Table SA13</t>
  </si>
  <si>
    <t>Supporting Table SA14</t>
  </si>
  <si>
    <t>Supporting Table SA15</t>
  </si>
  <si>
    <t>Supporting Table SA16</t>
  </si>
  <si>
    <t>Supporting Table SA17</t>
  </si>
  <si>
    <t>Supporting Table SA18</t>
  </si>
  <si>
    <t>Supporting Table SA19</t>
  </si>
  <si>
    <t>Supporting Table SA20</t>
  </si>
  <si>
    <t>Supporting Table SA21</t>
  </si>
  <si>
    <t>Supporting Table SA22</t>
  </si>
  <si>
    <t>Supporting Table SA23</t>
  </si>
  <si>
    <t>Supporting Table SA24</t>
  </si>
  <si>
    <t>Supporting Table SA25</t>
  </si>
  <si>
    <t>Supporting Table SA26</t>
  </si>
  <si>
    <t>Supporting Table SA27</t>
  </si>
  <si>
    <t>Supporting Table SA28</t>
  </si>
  <si>
    <t>Supporting Table SA29</t>
  </si>
  <si>
    <t>Supporting Table SA30</t>
  </si>
  <si>
    <t>Supporting Table SA31</t>
  </si>
  <si>
    <t>Supporting Table SA32</t>
  </si>
  <si>
    <t>Supporting Table SA33</t>
  </si>
  <si>
    <t>Supporting Table SA35</t>
  </si>
  <si>
    <t>Supporting Table SA36</t>
  </si>
  <si>
    <t>Supporting Table SA37</t>
  </si>
  <si>
    <t>R'000</t>
  </si>
  <si>
    <t>ASSETS</t>
  </si>
  <si>
    <t>Current assets</t>
  </si>
  <si>
    <t>Investments</t>
  </si>
  <si>
    <t>Current liabilities</t>
  </si>
  <si>
    <t>Provisions</t>
  </si>
  <si>
    <t>Head25</t>
  </si>
  <si>
    <t>National Government:</t>
  </si>
  <si>
    <t>Provincial Government:</t>
  </si>
  <si>
    <t>Does this municipality have entities (consolidated budget and entity budgets required)? YES/NO</t>
  </si>
  <si>
    <t>NOT REQUIRED - municipality does not have entities</t>
  </si>
  <si>
    <t>A. GENERAL INFORMATION</t>
  </si>
  <si>
    <t>Municipality</t>
  </si>
  <si>
    <t>DC1 West Coast</t>
  </si>
  <si>
    <t>WC WESTERN CAPE</t>
  </si>
  <si>
    <t>DC10 Cacadu</t>
  </si>
  <si>
    <t>Single-year expenditure appropriation</t>
  </si>
  <si>
    <r>
      <t xml:space="preserve">Multi-year expenditure </t>
    </r>
    <r>
      <rPr>
        <b/>
        <sz val="8"/>
        <rFont val="Arial Narrow"/>
        <family val="2"/>
      </rPr>
      <t xml:space="preserve"> </t>
    </r>
    <r>
      <rPr>
        <b/>
        <i/>
        <sz val="8"/>
        <rFont val="Arial Narrow"/>
        <family val="2"/>
      </rPr>
      <t>to be appropriated</t>
    </r>
  </si>
  <si>
    <r>
      <t>Single-year expenditure</t>
    </r>
    <r>
      <rPr>
        <b/>
        <sz val="8"/>
        <rFont val="Arial Narrow"/>
        <family val="2"/>
      </rPr>
      <t xml:space="preserve"> </t>
    </r>
    <r>
      <rPr>
        <b/>
        <i/>
        <sz val="8"/>
        <rFont val="Arial Narrow"/>
        <family val="2"/>
      </rPr>
      <t>to be appropriated</t>
    </r>
  </si>
  <si>
    <t>Total Capital Expenditure - Vote</t>
  </si>
  <si>
    <t>Other transfers and grants</t>
  </si>
  <si>
    <t>2. Include capital component of PPP unitary payment. Note that capital transfers are only appropriated to municipalities for the budget year</t>
  </si>
  <si>
    <t>3. Capital expenditure by standard classification must reconcile to the appropriations by vote</t>
  </si>
  <si>
    <t>4. Must reconcile to supporting table SA20 and to Budgeted Financial Performance (revenue and expenditure)</t>
  </si>
  <si>
    <t>6. Include finance leases and PPP capital funding component of unitary payment - total borrowing/repayments to reconcile to changes in Table SA17</t>
  </si>
  <si>
    <t>Service charges - refuse revenue</t>
  </si>
  <si>
    <t>Total Revenue (excluding capital transfers and contributions)</t>
  </si>
  <si>
    <t>3. Leases treated as assets to be depreciated as the same as purchased/constructed assets.  Includes PPP asset element accounted for as finance leases</t>
  </si>
  <si>
    <t>Finance leases (including PPP asset element)</t>
  </si>
  <si>
    <t>Inflation/inflation outlook (CPIX)</t>
  </si>
  <si>
    <t>Taxation</t>
  </si>
  <si>
    <t>Surplus/(Deficit) after taxation</t>
  </si>
  <si>
    <t>8. Indicative of planned capital expenditure level &amp; cash payment timing</t>
  </si>
  <si>
    <t>6. Realistic average cash collection forecasts as % of annual billed revenue</t>
  </si>
  <si>
    <t xml:space="preserve">Department 10 - </t>
  </si>
  <si>
    <t xml:space="preserve">Department 11 - </t>
  </si>
  <si>
    <t xml:space="preserve">Department 12 - </t>
  </si>
  <si>
    <t xml:space="preserve">Department 13 - </t>
  </si>
  <si>
    <t>Leases recognised as PPE</t>
  </si>
  <si>
    <t>2. Include completed low cost housing to be transferred to beneficiaries within 12 months</t>
  </si>
  <si>
    <t>2005/06</t>
  </si>
  <si>
    <t>2004/05</t>
  </si>
  <si>
    <t>2003/04</t>
  </si>
  <si>
    <t>Audited Outcome</t>
  </si>
  <si>
    <t>District Municipality:</t>
  </si>
  <si>
    <t>Property Services</t>
  </si>
  <si>
    <t>Other Admin</t>
  </si>
  <si>
    <t>List all capital projects grouped by Municipal Vote</t>
  </si>
  <si>
    <t>Program/Project description</t>
  </si>
  <si>
    <t>Total Project Estimate</t>
  </si>
  <si>
    <t>Capital expenditure &amp; funds sources</t>
  </si>
  <si>
    <t>CHANGES IN NET ASSETS</t>
  </si>
  <si>
    <t>Unspent conditional transfers</t>
  </si>
  <si>
    <t>Total New Assets</t>
  </si>
  <si>
    <t>2. Must reconcile to supporting documentation on staff salaries</t>
  </si>
  <si>
    <t>Budget Charts</t>
  </si>
  <si>
    <t>Resi.</t>
  </si>
  <si>
    <t>Indust.</t>
  </si>
  <si>
    <t>Bus. &amp; Comm.</t>
  </si>
  <si>
    <t>Farm props.</t>
  </si>
  <si>
    <t>Private owned towns</t>
  </si>
  <si>
    <t>Comm. Land</t>
  </si>
  <si>
    <t>Protect. Areas</t>
  </si>
  <si>
    <t>TOTAL LIABILITIES</t>
  </si>
  <si>
    <t>TOTAL COMMUNITY WEALTH/EQUITY</t>
  </si>
  <si>
    <t>Total Reserves</t>
  </si>
  <si>
    <t>Head24</t>
  </si>
  <si>
    <t>Balance - surplus (shortfall)</t>
  </si>
  <si>
    <t>Waste Management</t>
  </si>
  <si>
    <t>Basis of calculation</t>
  </si>
  <si>
    <t>&gt;5</t>
  </si>
  <si>
    <t>6-10</t>
  </si>
  <si>
    <t>Uniform</t>
  </si>
  <si>
    <t>Overtime</t>
  </si>
  <si>
    <t>Long service awards</t>
  </si>
  <si>
    <t xml:space="preserve">  [insert description]</t>
  </si>
  <si>
    <t>Insert measure/s description</t>
  </si>
  <si>
    <t>Insert description</t>
  </si>
  <si>
    <t>Base year of forecast column selection names</t>
  </si>
  <si>
    <t>Budget approval tables</t>
  </si>
  <si>
    <t>A2</t>
  </si>
  <si>
    <t>Cross reference</t>
  </si>
  <si>
    <t>A3</t>
  </si>
  <si>
    <t>A5</t>
  </si>
  <si>
    <t>A7</t>
  </si>
  <si>
    <t>1st yr of long term forecast</t>
  </si>
  <si>
    <t>Next yr of long term forecast</t>
  </si>
  <si>
    <t>Current Year 2007/08</t>
  </si>
  <si>
    <t>2007/08</t>
  </si>
  <si>
    <t>Budget Year 2008/09</t>
  </si>
  <si>
    <t>Budget Year +1 2009/10</t>
  </si>
  <si>
    <t>Budget Year +2 2010/11</t>
  </si>
  <si>
    <t>Forecast 2022/23</t>
  </si>
  <si>
    <t>Annual target 2008/09</t>
  </si>
  <si>
    <t>Revised target 2008/09</t>
  </si>
  <si>
    <t>Current Year 2008/09</t>
  </si>
  <si>
    <t>2008/09</t>
  </si>
  <si>
    <t>Budget Year 2009/10</t>
  </si>
  <si>
    <t>Attributable to minorities</t>
  </si>
  <si>
    <t>Females aged 5 - 14</t>
  </si>
  <si>
    <t>Females aged 15 - 34</t>
  </si>
  <si>
    <t>Population</t>
  </si>
  <si>
    <t>Unemployment</t>
  </si>
  <si>
    <t>Interest rate - borrowing</t>
  </si>
  <si>
    <t>Interest rate - investment</t>
  </si>
  <si>
    <t>Remuneration increases</t>
  </si>
  <si>
    <t>Property tax/service charges</t>
  </si>
  <si>
    <t>Rental of facilities &amp; equipment</t>
  </si>
  <si>
    <t>1. Local/District municipalities to include transfers from/to District/Local Municipalities</t>
  </si>
  <si>
    <t>Application of cash and investments</t>
  </si>
  <si>
    <t>Statutory requirements</t>
  </si>
  <si>
    <t>2. For example: VAT, taxation</t>
  </si>
  <si>
    <t>Governance and administration</t>
  </si>
  <si>
    <t>1. Government Finance Statistics Functions and Sub-functions are standardised to assist the compilation of national and international accounts for comparison purposes</t>
  </si>
  <si>
    <t>Waste water management</t>
  </si>
  <si>
    <t>Waste management</t>
  </si>
  <si>
    <t>Street address</t>
  </si>
  <si>
    <t>DC21 Ugu</t>
  </si>
  <si>
    <t>Building</t>
  </si>
  <si>
    <t>DC22 uMgungundlovu</t>
  </si>
  <si>
    <t>Street No. &amp; Name</t>
  </si>
  <si>
    <t>DC23 Uthukela</t>
  </si>
  <si>
    <t>DC24 Umzinyathi</t>
  </si>
  <si>
    <t>DC25 Amajuba</t>
  </si>
  <si>
    <t>General Contacts</t>
  </si>
  <si>
    <t>DC26 Zululand</t>
  </si>
  <si>
    <t>Telephone number</t>
  </si>
  <si>
    <t>DC27 Umkhanyakude</t>
  </si>
  <si>
    <t>Fax number</t>
  </si>
  <si>
    <t>DC28 uThungulu</t>
  </si>
  <si>
    <t>C. POLITICAL LEADERSHIP</t>
  </si>
  <si>
    <t>Speaker:</t>
  </si>
  <si>
    <t>Secretary/PA to the Speaker:</t>
  </si>
  <si>
    <t>DC29 iLembe</t>
  </si>
  <si>
    <t>Name</t>
  </si>
  <si>
    <t>DC3 Overberg</t>
  </si>
  <si>
    <t>DC30 Gert Sibande</t>
  </si>
  <si>
    <t>MP MPUMALANGA</t>
  </si>
  <si>
    <t>Cell number</t>
  </si>
  <si>
    <t>DC31 Nkangala</t>
  </si>
  <si>
    <t>DC32 Ehlanzeni</t>
  </si>
  <si>
    <t>E-mail address</t>
  </si>
  <si>
    <t>DC33 Mopani</t>
  </si>
  <si>
    <t>LP LIMPOPO</t>
  </si>
  <si>
    <t>Mayor/Executive Mayor:</t>
  </si>
  <si>
    <t>Secretary/PA to the Mayor/Executive Mayor:</t>
  </si>
  <si>
    <t>DC34 Vhembe</t>
  </si>
  <si>
    <t>DC35 Capricorn</t>
  </si>
  <si>
    <t>DC36 Waterberg</t>
  </si>
  <si>
    <t>DC37 Bojanala Platinum</t>
  </si>
  <si>
    <t>NW NORTH WEST</t>
  </si>
  <si>
    <t>DC38 Ngaka Modiri Molema</t>
  </si>
  <si>
    <t>Deputy Mayor/Executive Mayor:</t>
  </si>
  <si>
    <t>Secretary/PA to the Deputy Mayor/Executive Mayor:</t>
  </si>
  <si>
    <t>DC4 Eden</t>
  </si>
  <si>
    <t>D. MANAGEMENT LEADERSHIP</t>
  </si>
  <si>
    <t>Municipal Manager:</t>
  </si>
  <si>
    <t>Secretary/PA to the Municipal Manager:</t>
  </si>
  <si>
    <t>Chief Financial Officer</t>
  </si>
  <si>
    <t>Secretary/PA to the Chief Financial Officer</t>
  </si>
  <si>
    <t>Official responsible for submitting financial information</t>
  </si>
  <si>
    <t>DC42 Sedibeng</t>
  </si>
  <si>
    <t>GT GAUTENG</t>
  </si>
  <si>
    <t>DC43 Sisonke</t>
  </si>
  <si>
    <t>DC48 West Rand</t>
  </si>
  <si>
    <t>DC5 Central Karoo</t>
  </si>
  <si>
    <t>DC6 Namakwa</t>
  </si>
  <si>
    <t>NC NORTHERN CAPE</t>
  </si>
  <si>
    <t>DC8 Siyanda</t>
  </si>
  <si>
    <t>DC9 Frances Baard</t>
  </si>
  <si>
    <t>EC000 Nelson Mandela Bay</t>
  </si>
  <si>
    <t>EC101 Camdeboo</t>
  </si>
  <si>
    <t>EC102 Blue Crane Route</t>
  </si>
  <si>
    <t>EC103 Ikwezi</t>
  </si>
  <si>
    <t>EC104 Makana</t>
  </si>
  <si>
    <t>EC105 Ndlambe</t>
  </si>
  <si>
    <t>EC106 Sundays River Valley</t>
  </si>
  <si>
    <t>EC107 Baviaans</t>
  </si>
  <si>
    <t>EC108 Kouga</t>
  </si>
  <si>
    <t>EC121 Mbhashe</t>
  </si>
  <si>
    <t>EC122 Mnquma</t>
  </si>
  <si>
    <t>EC123 Great Kei</t>
  </si>
  <si>
    <t>EC124 Amahlathi</t>
  </si>
  <si>
    <t>EC126 Ngqushwa</t>
  </si>
  <si>
    <t>EC127 Nkonkobe</t>
  </si>
  <si>
    <t>EC128 Nxuba</t>
  </si>
  <si>
    <t>EC131 Inxuba Yethemba</t>
  </si>
  <si>
    <t>EC132 Tsolwana</t>
  </si>
  <si>
    <t>EC133 Inkwanca</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</si>
  <si>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</si>
  <si>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7. Equity method</t>
  </si>
  <si>
    <t>Surplus/ (Deficit) for the yr/period</t>
  </si>
  <si>
    <t>Total 'Other' Revenue</t>
  </si>
  <si>
    <t>Electricity Bulk Purchases</t>
  </si>
  <si>
    <t>Water Bulk Purchases</t>
  </si>
  <si>
    <t>Total bulk purchases</t>
  </si>
  <si>
    <t>Cash and investments available</t>
  </si>
  <si>
    <t>Cash and investments available:</t>
  </si>
  <si>
    <t>Reserves to be backed by cash/investments</t>
  </si>
  <si>
    <t>9. Indicative of compliance with borrowing 'only' for the capital budget - should not exceed 100% unless refinancing</t>
  </si>
  <si>
    <t>Total gazetted/advised national, provincial and district grants</t>
  </si>
  <si>
    <t>District Municipality grants</t>
  </si>
  <si>
    <t>Operating and Capital Grant Revenue</t>
  </si>
  <si>
    <t>Supporting indicators</t>
  </si>
  <si>
    <t>Capital expenditure - total</t>
  </si>
  <si>
    <t>Capital expenditure - renewal</t>
  </si>
  <si>
    <t>Conditions met - transferred to revenue</t>
  </si>
  <si>
    <t>Balance unspent at beginning of the year</t>
  </si>
  <si>
    <t>Current year receipts</t>
  </si>
  <si>
    <t>Repairs and maintenance expenditure by Asset Class/Sub-class</t>
  </si>
  <si>
    <t>Total Repairs and Maintenance Expenditure</t>
  </si>
  <si>
    <t>1. Total Repairs and Maintenance Expenditure by Asset Category must reconcile to total repairs and maintenance expenditure on Table SA1</t>
  </si>
  <si>
    <t>Capital expenditure on renewal of existing assets by Asset Class/Sub-class</t>
  </si>
  <si>
    <t xml:space="preserve">Total Capital Expenditure on renewal of existing assets </t>
  </si>
  <si>
    <t>1. Total Capital Expenditure  on renewal of existing assets (SA34b) plus Total Capital Expenditure on new assets (SA34a) must reconcile to total capital expenditure in Budgeted Capital Expenditure</t>
  </si>
  <si>
    <t>Capital expenditure on new assets by Asset Class/Sub-class</t>
  </si>
  <si>
    <t>Total Capital Expenditure on new assets</t>
  </si>
  <si>
    <t>1. Total Capital Expenditure on new assets (SA34a) plus Total Capital Expenditure on renewal of existing assets (SA34b) must reconcile to total capital expenditure in Budgeted Capital Expenditure</t>
  </si>
  <si>
    <t>6, 7</t>
  </si>
  <si>
    <t>Other toilet provisions (&lt; min.service level)</t>
  </si>
  <si>
    <t>Electricity (at least min.service level)</t>
  </si>
  <si>
    <t>Provincial - capex</t>
  </si>
  <si>
    <t xml:space="preserve">  Other transfers/grants [insert description]</t>
  </si>
  <si>
    <t>Capital Expenditure - Standard</t>
  </si>
  <si>
    <t>Total Capital Expenditure - Standard</t>
  </si>
  <si>
    <t>Decrease (Increase) in non-current debtors</t>
  </si>
  <si>
    <t>Asset management</t>
  </si>
  <si>
    <t>Plant &amp; equipment</t>
  </si>
  <si>
    <t>Abattoirs</t>
  </si>
  <si>
    <t>Markets</t>
  </si>
  <si>
    <t xml:space="preserve">Department 1 - </t>
  </si>
  <si>
    <t xml:space="preserve">Department 2 - </t>
  </si>
  <si>
    <t xml:space="preserve">Department 3 - </t>
  </si>
  <si>
    <t xml:space="preserve">Department 4 - </t>
  </si>
  <si>
    <t xml:space="preserve">Department 5 - </t>
  </si>
  <si>
    <t xml:space="preserve">Department 6 - </t>
  </si>
  <si>
    <t xml:space="preserve">Department 7 - </t>
  </si>
  <si>
    <t xml:space="preserve">Department 8 - </t>
  </si>
  <si>
    <t xml:space="preserve">Department 9 - </t>
  </si>
  <si>
    <t>Buildings</t>
  </si>
  <si>
    <t>List sub-class</t>
  </si>
  <si>
    <t>DoRA operating</t>
  </si>
  <si>
    <t>5. Repairs &amp; maintenance detailed in Table A9 and Table SA34c</t>
  </si>
  <si>
    <t>Forecast Cash Flow</t>
  </si>
  <si>
    <t>Entity 2</t>
  </si>
  <si>
    <t>Entity 3</t>
  </si>
  <si>
    <t>Ent2</t>
  </si>
  <si>
    <t>Ent3</t>
  </si>
  <si>
    <t>Top level</t>
  </si>
  <si>
    <t>Surplus/(Deficit) excluding depreciation offsets: R'000</t>
  </si>
  <si>
    <t>Municipal/assistant valuer appointed? (Y/N)</t>
  </si>
  <si>
    <t>No. of assistant valuers (FTE)</t>
  </si>
  <si>
    <t>No. of data collectors (FTE)</t>
  </si>
  <si>
    <t>No. of internal valuers (FTE)</t>
  </si>
  <si>
    <t>No. of external valuers (FTE)</t>
  </si>
  <si>
    <t>NC071 Ubuntu</t>
  </si>
  <si>
    <t>NC072 Umsobomvu</t>
  </si>
  <si>
    <t>NC073 Emthanjeni</t>
  </si>
  <si>
    <t>NC074 Kareeberg</t>
  </si>
  <si>
    <t>NC075 Renosterberg</t>
  </si>
  <si>
    <t>NC076 Thembelihle</t>
  </si>
  <si>
    <t>1. Total investments must reconcile to Budgeted Financial Position ('current' call investment deposits plus 'non-current' investments)</t>
  </si>
  <si>
    <t>1. Total borrowing must reconcile to Budgeted Financial Position (Borrowing - non-current)</t>
  </si>
  <si>
    <t>RECEIPTS:</t>
  </si>
  <si>
    <t>Transfers and Grants</t>
  </si>
  <si>
    <t>Cash/cash equivalents at the year end:</t>
  </si>
  <si>
    <t>Borrowing</t>
  </si>
  <si>
    <t>Clinics</t>
  </si>
  <si>
    <t>5 This sub-total must agree with the total on SA22, but excluding councillor and board member items</t>
  </si>
  <si>
    <t>2. Only include if services provided by the municipality</t>
  </si>
  <si>
    <t>1. Consumer debtors &gt; 12 months old are excluded from current assets</t>
  </si>
  <si>
    <t>Water Distribution Losses (2)</t>
  </si>
  <si>
    <t>2006/07</t>
  </si>
  <si>
    <t>Refuse</t>
  </si>
  <si>
    <t>Rand/cent</t>
  </si>
  <si>
    <t>Rand thousand</t>
  </si>
  <si>
    <t>Below Minimum Service Level sub-total</t>
  </si>
  <si>
    <t>2. Insert description of each entity or external mechanism (an external mechanism may be provided with resources to ensure a minimum level of service)</t>
  </si>
  <si>
    <t>CASH FLOWS FROM FINANCING ACTIVITIES</t>
  </si>
  <si>
    <t>Bank overdraft</t>
  </si>
  <si>
    <t>Head39</t>
  </si>
  <si>
    <t>Monthly actual</t>
  </si>
  <si>
    <t>Head40</t>
  </si>
  <si>
    <t>Head41</t>
  </si>
  <si>
    <t>Head42</t>
  </si>
  <si>
    <t>Sub Total - Other Staff of Entities</t>
  </si>
  <si>
    <t>Senior Managers of the Municipality</t>
  </si>
  <si>
    <t>Basic Salaries and Wages</t>
  </si>
  <si>
    <t>Chief Whip</t>
  </si>
  <si>
    <t>Depart6</t>
  </si>
  <si>
    <t>Depart7</t>
  </si>
  <si>
    <t>Depart8</t>
  </si>
  <si>
    <t>Depart9</t>
  </si>
  <si>
    <t>Depart10</t>
  </si>
  <si>
    <t>Depart11</t>
  </si>
  <si>
    <t>Depart12</t>
  </si>
  <si>
    <t>Depart13</t>
  </si>
  <si>
    <t>Water (6 kilolitres per household per month)</t>
  </si>
  <si>
    <t>Sanitation (free sanitation service)</t>
  </si>
  <si>
    <t>Electricity/other energy (50kwh per household per month)</t>
  </si>
  <si>
    <t>Refuse (removed once a week)</t>
  </si>
  <si>
    <t>DEP10</t>
  </si>
  <si>
    <t>DEP11</t>
  </si>
  <si>
    <t>DEP12</t>
  </si>
  <si>
    <t>DEP13</t>
  </si>
  <si>
    <t>DEP14</t>
  </si>
  <si>
    <t>18(1)a,(2)</t>
  </si>
  <si>
    <t>18(1)c;19</t>
  </si>
  <si>
    <t>18(1)b</t>
  </si>
  <si>
    <t>18(1)</t>
  </si>
  <si>
    <t>20(1)(vi)</t>
  </si>
  <si>
    <t>Alternative for municipalities without entities</t>
  </si>
  <si>
    <t>Capital single-year expenditure sub-total</t>
  </si>
  <si>
    <t>Sub Total - Board Members of Entities</t>
  </si>
  <si>
    <t>Total number of households</t>
  </si>
  <si>
    <t>Sanitation/sewerage:</t>
  </si>
  <si>
    <t>Flush toilet (connected to sewerage)</t>
  </si>
  <si>
    <t>Flush toilet (with septic tank)</t>
  </si>
  <si>
    <t>8. Not municipal contributions to the 'top structure' being built using the housing subsidies</t>
  </si>
  <si>
    <t>9. Statues, art collections, medals etc.</t>
  </si>
  <si>
    <t>1. Insert description listed by municipal name and demarcation code of recipient</t>
  </si>
  <si>
    <t>Depreciation offsets</t>
  </si>
  <si>
    <t>B</t>
  </si>
  <si>
    <t>Chart 11</t>
  </si>
  <si>
    <t>Chart 12</t>
  </si>
  <si>
    <t>Chart 13</t>
  </si>
  <si>
    <t>Chart 14</t>
  </si>
  <si>
    <t>RSC levies</t>
  </si>
  <si>
    <t>Total Operating Revenue Implication</t>
  </si>
  <si>
    <t>Retirement benefits</t>
  </si>
  <si>
    <t>Transfers recognised - capital</t>
  </si>
  <si>
    <t>List other major provision items</t>
  </si>
  <si>
    <t>Total capital expenditure includes expenditure on nationally significant priorities:</t>
  </si>
  <si>
    <t>Goal</t>
  </si>
  <si>
    <t>YTD actual</t>
  </si>
  <si>
    <t>1. Total capital expenditure must reconcile to Budgeted Capital Expenditure</t>
  </si>
  <si>
    <t>3. Only include prior year comparative information for individual measures where relevant activity occurred in that year/s</t>
  </si>
  <si>
    <t>2. Only include prior year comparative information for individual measures where relevant activity occurred in that year/s</t>
  </si>
  <si>
    <t>Sch/Tab/Ch</t>
  </si>
  <si>
    <t>Chart x-ref</t>
  </si>
  <si>
    <t>Charts</t>
  </si>
  <si>
    <t>Head49</t>
  </si>
  <si>
    <t>Head50</t>
  </si>
  <si>
    <t>Total Outstanding Debtors to Annual Revenue</t>
  </si>
  <si>
    <t>Project name</t>
  </si>
  <si>
    <t>Project number</t>
  </si>
  <si>
    <t>New or renewal</t>
  </si>
  <si>
    <t>Project information</t>
  </si>
  <si>
    <t>Ward location</t>
  </si>
  <si>
    <t>Prior year outcomes</t>
  </si>
  <si>
    <t>Total Borrowing</t>
  </si>
  <si>
    <t>4. Housing subsidies for housing where ownership transferred to organisations or persons outside the control of the municipality</t>
  </si>
  <si>
    <t>Financial Performance</t>
  </si>
  <si>
    <t>Revenue by Vote</t>
  </si>
  <si>
    <t>Budget Year +1 2010/11</t>
  </si>
  <si>
    <t>Budget Year +2 2011/12</t>
  </si>
  <si>
    <t>Forecast 2023/24</t>
  </si>
  <si>
    <t>Annual target 2009/10</t>
  </si>
  <si>
    <t>Revised target 2009/10</t>
  </si>
  <si>
    <t>Adjustments Budget</t>
  </si>
  <si>
    <t>Supportinging Tables to the Budget Approval Tables</t>
  </si>
  <si>
    <t>Supporting Table SA1</t>
  </si>
  <si>
    <t xml:space="preserve">Supporting Table SA2 </t>
  </si>
  <si>
    <t xml:space="preserve">Supporting Table SA3 </t>
  </si>
  <si>
    <t xml:space="preserve">Supporting Table SA4 </t>
  </si>
  <si>
    <t>2. Include all Basic Services performance targets from 'Basic Service Delivery' to ensure Table SA7 represents all strategic responsibilities</t>
  </si>
  <si>
    <t>Function 1 - (name)</t>
  </si>
  <si>
    <t>Sub-function 1 - (name)</t>
  </si>
  <si>
    <t>Function 2 - (name)</t>
  </si>
  <si>
    <t>Sub-function 2 - (name)</t>
  </si>
  <si>
    <t>Sub-function 3 - (name)</t>
  </si>
  <si>
    <t>Vote 2 - vote name</t>
  </si>
  <si>
    <t>Vote 3 - vote name</t>
  </si>
  <si>
    <t>And so on for the rest of the Votes</t>
  </si>
  <si>
    <t>Entity 1 - (name of entity)</t>
  </si>
  <si>
    <t>Entity 2 - (name of entity)</t>
  </si>
  <si>
    <t>Entity 3 - (name of entity)</t>
  </si>
  <si>
    <t>And so on for the rest of the Entities</t>
  </si>
  <si>
    <t>3. Insert description of each Organ of State (e.g. transfer to electricity provider to compensate for FBS provided)</t>
  </si>
  <si>
    <t>Current assets less debtors &gt; 90 days/current liabilities</t>
  </si>
  <si>
    <t>Last 12 Mths Receipts/Last 12 Mths Billing</t>
  </si>
  <si>
    <t>Cash + investments at the yr end less applications - R'000</t>
  </si>
  <si>
    <t>2. Deduct cash and investment applications (defined) from cash balances</t>
  </si>
  <si>
    <t>No. of sectional title property values</t>
  </si>
  <si>
    <t>Supplementary valuation (Rm)</t>
  </si>
  <si>
    <t>Estimated no. of properties not valued</t>
  </si>
  <si>
    <t>Municipality owned property value (Rm)</t>
  </si>
  <si>
    <r>
      <t xml:space="preserve">2. Amounts actually </t>
    </r>
    <r>
      <rPr>
        <u/>
        <sz val="8"/>
        <rFont val="Arial"/>
        <family val="2"/>
      </rPr>
      <t>RECEIVED</t>
    </r>
    <r>
      <rPr>
        <sz val="8"/>
        <rFont val="Arial"/>
        <family val="2"/>
      </rPr>
      <t>; not revenue recognised (objective is to confirm grants transferred)</t>
    </r>
  </si>
  <si>
    <t>1. Expenditure must be separately listed for each transfer or grant received or recognised</t>
  </si>
  <si>
    <t>Chemical toilet</t>
  </si>
  <si>
    <t>Other (list)</t>
  </si>
  <si>
    <t>No toilet provisions</t>
  </si>
  <si>
    <t>Water (kilolitres per household per month)</t>
  </si>
  <si>
    <t>Sanitation (kilolitres per household per month)</t>
  </si>
  <si>
    <t>August</t>
  </si>
  <si>
    <t>Sept.</t>
  </si>
  <si>
    <t>October</t>
  </si>
  <si>
    <t>Board Members of municipal entities</t>
  </si>
  <si>
    <t>Municipal employees</t>
  </si>
  <si>
    <t>Municipal Manager and Senior Managers</t>
  </si>
  <si>
    <t>Professionals</t>
  </si>
  <si>
    <t>Spatial/town planning</t>
  </si>
  <si>
    <t>Technicians</t>
  </si>
  <si>
    <t>Clerks (Clerical and administrative)</t>
  </si>
  <si>
    <t>Service and sales workers</t>
  </si>
  <si>
    <t>Craft and related trades</t>
  </si>
  <si>
    <t>Plant and Machine Operators</t>
  </si>
  <si>
    <t>Elementary Occupations</t>
  </si>
  <si>
    <t>Total municipal employees headcount</t>
  </si>
  <si>
    <t>Finance personnel headcount</t>
  </si>
  <si>
    <t>Human Resources personnel headcount</t>
  </si>
  <si>
    <t>Total Capital Expenditure Implication</t>
  </si>
  <si>
    <t>CAPITAL EXPENDITURE</t>
  </si>
  <si>
    <t>TOTAL CAPITAL EXPENDITURE - Asset class</t>
  </si>
  <si>
    <t>EXPENDITURE OTHER ITEMS</t>
  </si>
  <si>
    <t>TOTAL EXPENDITURE OTHER ITEMS</t>
  </si>
  <si>
    <t>Renewal of Existing Assets as % of deprecn"</t>
  </si>
  <si>
    <t>ASSET REGISTER SUMMARY - PPE (WDV)</t>
  </si>
  <si>
    <t>TOTAL ASSET REGISTER SUMMARY - PPE (WDV)</t>
  </si>
  <si>
    <t>TOTAL TRANSFERS AND GRANTS - CTBM</t>
  </si>
  <si>
    <t>TOTAL MANAGERS AND STAFF</t>
  </si>
  <si>
    <t>2. List all contracts with future financial obligations beyond the three years covered by the MTREF (MFMA s33)</t>
  </si>
  <si>
    <t>Financing</t>
  </si>
  <si>
    <t>Check changes in cash flow receivables apportioned</t>
  </si>
  <si>
    <t>Check total payments - Cash Flow Budget</t>
  </si>
  <si>
    <t>Check total receipts = Cash Flow Budget</t>
  </si>
  <si>
    <t>Negative income adjustment</t>
  </si>
  <si>
    <t>Long term receivables % change - incr(decr)</t>
  </si>
  <si>
    <t>Debtors &gt; 90 days</t>
  </si>
  <si>
    <t>N.A.</t>
  </si>
  <si>
    <t>Finance charges &amp; Depreciation</t>
  </si>
  <si>
    <t>Interest &amp; Principal Paid /Operating Expenditure</t>
  </si>
  <si>
    <t>Current Ratio adjusted for aged debtors</t>
  </si>
  <si>
    <t>Monthly fixed operational expenditure</t>
  </si>
  <si>
    <t>Fixed operational expenditure % assumption</t>
  </si>
  <si>
    <t>Current assets/current liabilities</t>
  </si>
  <si>
    <t>8. Include any capitalised interest (MFMA section 46) as part of relevant capital budget</t>
  </si>
  <si>
    <t>1. Detail to be provided in Table SA3</t>
  </si>
  <si>
    <t>Residential rate used to determine rate for other categories? (Y/N)</t>
  </si>
  <si>
    <t>Total value used for rating (Rm)</t>
  </si>
  <si>
    <t>Total land value (Rm)</t>
  </si>
  <si>
    <t>Total value of improvements (Rm)</t>
  </si>
  <si>
    <t>Total market value (Rm)</t>
  </si>
  <si>
    <t>Rate revenue budget (R '000)</t>
  </si>
  <si>
    <t>Rate revenue expected to collect (R'000)</t>
  </si>
  <si>
    <t xml:space="preserve">State-owned </t>
  </si>
  <si>
    <t>Public service infra.</t>
  </si>
  <si>
    <t>Cash Flow categories &amp; sub-categories</t>
  </si>
  <si>
    <t>Asset Management</t>
  </si>
  <si>
    <t>Supporting table level</t>
  </si>
  <si>
    <t>Capital asset impairment</t>
  </si>
  <si>
    <t>Debt impairment</t>
  </si>
  <si>
    <t>Provision of basic services</t>
  </si>
  <si>
    <t>Allocations to organs of state:</t>
  </si>
  <si>
    <t>Total contracted services</t>
  </si>
  <si>
    <t xml:space="preserve">(Pty) Ltd Example 1 - Municipal entity - </t>
  </si>
  <si>
    <t xml:space="preserve">(Pty) Ltd Example 2 - Municipal entity - </t>
  </si>
  <si>
    <t>Municipal Entity Example 3</t>
  </si>
  <si>
    <t>Expenditure includes repairs &amp; maintenance of R'000</t>
  </si>
  <si>
    <t>RandM</t>
  </si>
  <si>
    <t>Depart1</t>
  </si>
  <si>
    <t>Depart2</t>
  </si>
  <si>
    <t>Depart3</t>
  </si>
  <si>
    <t>Depart4</t>
  </si>
  <si>
    <t>Depart5</t>
  </si>
  <si>
    <t>Ratepayers and other</t>
  </si>
  <si>
    <t>Government - operating</t>
  </si>
  <si>
    <t>Government - capital</t>
  </si>
  <si>
    <t>Suppliers and employees</t>
  </si>
  <si>
    <t>Capital assets</t>
  </si>
  <si>
    <t>1. Must reconcile with Budgeted Cash Flows</t>
  </si>
  <si>
    <t>3. Summarise the future revenue from when projects are operational, including municipal tax and tariff implications, (present value until the end of asset's useful life)</t>
  </si>
  <si>
    <t>List entity summary if applicable</t>
  </si>
  <si>
    <t>Parent municipality:</t>
  </si>
  <si>
    <t>List all capital projects grouped by Entity</t>
  </si>
  <si>
    <t>Entity A</t>
  </si>
  <si>
    <t>Water project A</t>
  </si>
  <si>
    <t>Entity B</t>
  </si>
  <si>
    <t>Electricity project B</t>
  </si>
  <si>
    <t>List all capital projects grouped by Municipal Entity</t>
  </si>
  <si>
    <t>Entity Name</t>
  </si>
  <si>
    <t>Depreciation &amp; asset impairment</t>
  </si>
  <si>
    <t>Head55</t>
  </si>
  <si>
    <t>Phase-in reductions/discounts (R'000)</t>
  </si>
  <si>
    <t>Special rating areas (R'000)</t>
  </si>
  <si>
    <t>DoRA operating grants total MFY</t>
  </si>
  <si>
    <t>DoRA capital grants total MFY</t>
  </si>
  <si>
    <t>Provincial operating grants</t>
  </si>
  <si>
    <t>Provincial capital grants</t>
  </si>
  <si>
    <t>Revaluation</t>
  </si>
  <si>
    <t>Capital replacement</t>
  </si>
  <si>
    <t>Self-insurance</t>
  </si>
  <si>
    <t>Agency services</t>
  </si>
  <si>
    <t>Contributions to 'other' provisions</t>
  </si>
  <si>
    <t>Capital expenditure</t>
  </si>
  <si>
    <t>Variance explanation</t>
  </si>
  <si>
    <t>Consumer deposits</t>
  </si>
  <si>
    <t>VAT</t>
  </si>
  <si>
    <t>Current portion of long-term liabilities</t>
  </si>
  <si>
    <t>Property, plant and equipment</t>
  </si>
  <si>
    <t>Investment property</t>
  </si>
  <si>
    <t>Long-term receivables</t>
  </si>
  <si>
    <t>Inventory</t>
  </si>
  <si>
    <t>Consumer debtors</t>
  </si>
  <si>
    <t>Other debtors</t>
  </si>
  <si>
    <t>Call investment deposits</t>
  </si>
  <si>
    <t>check</t>
  </si>
  <si>
    <t>Civic Land and Buildings</t>
  </si>
  <si>
    <t>Fire</t>
  </si>
  <si>
    <t>Buses</t>
  </si>
  <si>
    <t>Ent1</t>
  </si>
  <si>
    <t>Other materials</t>
  </si>
  <si>
    <t>TOTAL BUDGET PHASE-IN/COMPLIANCE ASSESSMENT SCORE:</t>
  </si>
  <si>
    <t>Score *</t>
  </si>
  <si>
    <t>* scaled to score out of 100</t>
  </si>
  <si>
    <t>Total weighting and score:</t>
  </si>
  <si>
    <t>Dividends received</t>
  </si>
  <si>
    <t>Proceeds on disposal of PPE</t>
  </si>
  <si>
    <t>1, 2</t>
  </si>
  <si>
    <t>Head46</t>
  </si>
  <si>
    <t xml:space="preserve"> - Adjustments Budget - January 2007</t>
  </si>
  <si>
    <t>Other benefits and allowances</t>
  </si>
  <si>
    <t>Agricultural assets</t>
  </si>
  <si>
    <t>Agricultural Assets</t>
  </si>
  <si>
    <t>Supplementary valuation</t>
  </si>
  <si>
    <t>Valuation reductions:</t>
  </si>
  <si>
    <t>Total valuation reductions:</t>
  </si>
  <si>
    <t>Rating:</t>
  </si>
  <si>
    <t>Muni props.</t>
  </si>
  <si>
    <t>Section 8(2)(n) (note 1)</t>
  </si>
  <si>
    <t>Public benefit organs.</t>
  </si>
  <si>
    <t>Mining Props.</t>
  </si>
  <si>
    <t>9. Reflect the cost to the municipality in terms of 'revenue foregone' of providing free services (note this will not equal 'Revenue Foregone' on SA1)</t>
  </si>
  <si>
    <t>1. Must reconcile with Budgeted Capital Expenditure</t>
  </si>
  <si>
    <t>Forecast 2019/20</t>
  </si>
  <si>
    <t>Forecast 2018/19</t>
  </si>
  <si>
    <t>E</t>
  </si>
  <si>
    <t>F</t>
  </si>
  <si>
    <t>G</t>
  </si>
  <si>
    <t>National Government</t>
  </si>
  <si>
    <t>(Available cash + Investments)/monthly fixed operational expenditure</t>
  </si>
  <si>
    <t>Total Parent Municipality</t>
  </si>
  <si>
    <t>Total Municipal Entities</t>
  </si>
  <si>
    <t>Finance charges</t>
  </si>
  <si>
    <t>Other revenue</t>
  </si>
  <si>
    <t>Electricity: Basic levy</t>
  </si>
  <si>
    <t>Electricity: Consumption</t>
  </si>
  <si>
    <t>Water: Basic levy</t>
  </si>
  <si>
    <t>Other current investments  &gt; 90 days</t>
  </si>
  <si>
    <t>Other current investments &gt; 90 days</t>
  </si>
  <si>
    <t>Total refuse removal revenue</t>
  </si>
  <si>
    <t>Total landfill revenue</t>
  </si>
  <si>
    <t>NET INCREASE/ (DECREASE) IN CASH HELD</t>
  </si>
  <si>
    <t>Community</t>
  </si>
  <si>
    <t>Securities - National Government</t>
  </si>
  <si>
    <t>Listed Corporate Bonds</t>
  </si>
  <si>
    <t>Deposits - Public Investment Commissioners</t>
  </si>
  <si>
    <t>Deposits - Bank</t>
  </si>
  <si>
    <t>Deposits - Corporation for Public Deposits</t>
  </si>
  <si>
    <t>Bankers Acceptance Certificates</t>
  </si>
  <si>
    <t>Negotiable Certificates of Deposit - Banks</t>
  </si>
  <si>
    <t>Guaranteed Endowment Policies (sinking)</t>
  </si>
  <si>
    <t>Repurchase Agreements - Banks</t>
  </si>
  <si>
    <t>Municipal Bonds</t>
  </si>
  <si>
    <t>Yrs/Months</t>
  </si>
  <si>
    <t>1. All numbers to be expressed as whole numbers except FTEs and Rates in the Rand</t>
  </si>
  <si>
    <t>Expected cash collection rate (%)</t>
  </si>
  <si>
    <t>2. To give effect to rates policy</t>
  </si>
  <si>
    <t>3. Full Time Equivalent (FTE)  should be expressed to one decimal place and takes into account full time and part time staff</t>
  </si>
  <si>
    <t>4. Required to implement new system (FTE)</t>
  </si>
  <si>
    <t>No. of additional valuers (FTE)</t>
  </si>
  <si>
    <t>Service charge rev % change - macro CPIX target exclusive</t>
  </si>
  <si>
    <t>Depreciation of Property, Plant &amp; Equipment</t>
  </si>
  <si>
    <t>Sportsfields &amp; stadia</t>
  </si>
  <si>
    <t>Fire, safety &amp; emergency</t>
  </si>
  <si>
    <t>Grants:</t>
  </si>
  <si>
    <t>National - opex</t>
  </si>
  <si>
    <t>National - capex</t>
  </si>
  <si>
    <t>Provincial - opex</t>
  </si>
  <si>
    <t>Other governmental units - operating</t>
  </si>
  <si>
    <t>Sale of scrap, waste &amp; other used goods (excl.cap)</t>
  </si>
  <si>
    <t>Current payments</t>
  </si>
  <si>
    <t>Increase/(decrease) attributable to rates</t>
  </si>
  <si>
    <t>Property tax revenue as % of tax + service revenue</t>
  </si>
  <si>
    <t>Increase/(decrease) attributable to service debtors</t>
  </si>
  <si>
    <t>6. Insert actual or estimated % increases assumed as a basis for budget calculations</t>
  </si>
  <si>
    <t>7. Insert actual or estimated % collection rate assumed as a basis for budget calculations for each revenue group</t>
  </si>
  <si>
    <t>List operating grants</t>
  </si>
  <si>
    <t>List capital grants</t>
  </si>
  <si>
    <t>8. In favour of the rate-payer</t>
  </si>
  <si>
    <t>5. In favour of the rate-payer</t>
  </si>
  <si>
    <t>5. Provide relevant information for historical comparisons. Must reconcile to the total of Table SA12</t>
  </si>
  <si>
    <t>6. Provide relevant information for historical comparisons.</t>
  </si>
  <si>
    <t>1. Surplus (Deficit) must reconcile with Budgeted Financial Performance</t>
  </si>
  <si>
    <t>1. Surplus (Deficit) must reconcile with Budeted Financial Performance</t>
  </si>
  <si>
    <t>Property rates - penalties &amp; collection charges</t>
  </si>
  <si>
    <t>Service charges</t>
  </si>
  <si>
    <t>Rental of facilities and equipment</t>
  </si>
  <si>
    <t>Cash Receipts by Source</t>
  </si>
  <si>
    <t>Cash Payments by Type</t>
  </si>
  <si>
    <t>Revenue Obligation By Contract</t>
  </si>
  <si>
    <t>Head2</t>
  </si>
  <si>
    <t>Head3</t>
  </si>
  <si>
    <t>Head4</t>
  </si>
  <si>
    <t>Head5</t>
  </si>
  <si>
    <t>Head6</t>
  </si>
  <si>
    <t>Head7</t>
  </si>
  <si>
    <t>Head8</t>
  </si>
  <si>
    <t>Head9</t>
  </si>
  <si>
    <t>Head10</t>
  </si>
  <si>
    <t>Forecast 2021/22</t>
  </si>
  <si>
    <t>Budget Year 2007/08</t>
  </si>
  <si>
    <t>Budget Year +1 2008/09</t>
  </si>
  <si>
    <t>Budget Year +2 2009/10</t>
  </si>
  <si>
    <t>Head11</t>
  </si>
  <si>
    <t>Head12</t>
  </si>
  <si>
    <t>Head13</t>
  </si>
  <si>
    <t>Head14</t>
  </si>
  <si>
    <t>Head15</t>
  </si>
  <si>
    <t>Head16</t>
  </si>
  <si>
    <t>Head17</t>
  </si>
  <si>
    <t>Head18</t>
  </si>
  <si>
    <t>Head19</t>
  </si>
  <si>
    <t>Head20</t>
  </si>
  <si>
    <t>Head21</t>
  </si>
  <si>
    <t>Head22</t>
  </si>
  <si>
    <t>Head23</t>
  </si>
  <si>
    <t>Summary of Employee and Councillor remuneration</t>
  </si>
  <si>
    <t>IDP regulation financial viability indicators</t>
  </si>
  <si>
    <t>i. Debt coverage</t>
  </si>
  <si>
    <t>ii.O/S Service Debtors to Revenue</t>
  </si>
  <si>
    <t>iii. Cost coverage</t>
  </si>
  <si>
    <t>Expenditure By Type</t>
  </si>
  <si>
    <t>Total Expenditure</t>
  </si>
  <si>
    <t>Piped water inside dwelling</t>
  </si>
  <si>
    <t>Previous target year to complete</t>
  </si>
  <si>
    <t>1. List all projects with planned completion dates in current year that have been re-budgeted in the MTREF</t>
  </si>
  <si>
    <t>Libraries and Archives</t>
  </si>
  <si>
    <t>Child Care</t>
  </si>
  <si>
    <t>Aged Care</t>
  </si>
  <si>
    <t>Other Community</t>
  </si>
  <si>
    <t>Other Social</t>
  </si>
  <si>
    <t>Police</t>
  </si>
  <si>
    <t>1. Include 'Loans and advances' where applicable if any reportable amounts until phased compliance with s164 of MFMA achieved</t>
  </si>
  <si>
    <t>4. B/A, C/B, D/C, E/C, F/C, G/D, H/D, I/D</t>
  </si>
  <si>
    <t>Employee costs/(Total Revenue - capital revenue)</t>
  </si>
  <si>
    <t>6. Donated/contributed &amp; leased assets to be included within the respective sub-class</t>
  </si>
  <si>
    <t>Supporting Table SA34a</t>
  </si>
  <si>
    <t>Supporting Table SA34b</t>
  </si>
  <si>
    <t>Supporting Table SA34c</t>
  </si>
  <si>
    <t>Payments in lieu of leave</t>
  </si>
  <si>
    <t>Post-retirement benefit obligations</t>
  </si>
  <si>
    <t>PPE at cost/valuation (excl. finance leases)</t>
  </si>
  <si>
    <t>Financial Position categories and sub-categories</t>
  </si>
  <si>
    <t>Entity 1</t>
  </si>
  <si>
    <t>Head56</t>
  </si>
  <si>
    <t>Total Adjusts.</t>
  </si>
  <si>
    <t>3 = full compliance (schedule/table presented with all information completed)</t>
  </si>
  <si>
    <t>Phase-in compliance assessment example</t>
  </si>
  <si>
    <t>Rating</t>
  </si>
  <si>
    <t>Description/justification for rating</t>
  </si>
  <si>
    <t>Weight</t>
  </si>
  <si>
    <t>YES</t>
  </si>
  <si>
    <t>NO</t>
  </si>
  <si>
    <t>Total score and weighting:</t>
  </si>
  <si>
    <t>MHC = mandatory year 1 for high capacity, MMC for medium &amp; MLC for low</t>
  </si>
  <si>
    <r>
      <t xml:space="preserve">Years since last valuation </t>
    </r>
    <r>
      <rPr>
        <b/>
        <sz val="8"/>
        <rFont val="Arial Narrow"/>
        <family val="2"/>
      </rPr>
      <t>(select)</t>
    </r>
  </si>
  <si>
    <r>
      <t xml:space="preserve">Frequency of valuation </t>
    </r>
    <r>
      <rPr>
        <b/>
        <sz val="8"/>
        <rFont val="Arial Narrow"/>
        <family val="2"/>
      </rPr>
      <t>(select)</t>
    </r>
  </si>
  <si>
    <r>
      <t xml:space="preserve">Method of valuation used </t>
    </r>
    <r>
      <rPr>
        <b/>
        <sz val="8"/>
        <rFont val="Arial Narrow"/>
        <family val="2"/>
      </rPr>
      <t>(select)</t>
    </r>
  </si>
  <si>
    <r>
      <t xml:space="preserve">Base of valuation </t>
    </r>
    <r>
      <rPr>
        <b/>
        <sz val="8"/>
        <rFont val="Arial Narrow"/>
        <family val="2"/>
      </rPr>
      <t>(select)</t>
    </r>
  </si>
  <si>
    <t>Variable</t>
  </si>
  <si>
    <t>Yrs/ Mths</t>
  </si>
  <si>
    <t>Number</t>
  </si>
  <si>
    <t>Yrs</t>
  </si>
  <si>
    <t>Mths</t>
  </si>
  <si>
    <t>DRAFT UNDER DEVELOPMENT</t>
  </si>
  <si>
    <t>MHC YR1</t>
  </si>
  <si>
    <t>MHC YR2</t>
  </si>
  <si>
    <t>MHC YR3</t>
  </si>
  <si>
    <t>1. Departmental columns to be based on municipal organisation structure</t>
  </si>
  <si>
    <t>6. Include a note for each revenue item that is affected by 'revenue foregone'</t>
  </si>
  <si>
    <t>Other non-current assets</t>
  </si>
  <si>
    <t>Appropriations to Reserves</t>
  </si>
  <si>
    <t>Transfers from Reserves</t>
  </si>
  <si>
    <t>GRAP adjustments</t>
  </si>
  <si>
    <t>Other adjustments</t>
  </si>
  <si>
    <t>Restated balance</t>
  </si>
  <si>
    <t>Year1</t>
  </si>
  <si>
    <t>Year2</t>
  </si>
  <si>
    <t>Year3</t>
  </si>
  <si>
    <t>Year4</t>
  </si>
  <si>
    <t>Year5</t>
  </si>
  <si>
    <t>Year6</t>
  </si>
  <si>
    <t>Year7</t>
  </si>
  <si>
    <t>Year8</t>
  </si>
  <si>
    <t>Year9</t>
  </si>
  <si>
    <t>Forecast 2010/11</t>
  </si>
  <si>
    <t>Forecast 2011/12</t>
  </si>
  <si>
    <t>Forecast 2012/13</t>
  </si>
  <si>
    <t>Forecast 2013/14</t>
  </si>
  <si>
    <t>Housing</t>
  </si>
  <si>
    <t>Max score</t>
  </si>
  <si>
    <t>Scaling</t>
  </si>
  <si>
    <t>Surplus/(Deficit)</t>
  </si>
  <si>
    <t>Standard classifications</t>
  </si>
  <si>
    <t>Conservancy</t>
  </si>
  <si>
    <t>Ambulances</t>
  </si>
  <si>
    <t>Longstanding Debtors Recovered</t>
  </si>
  <si>
    <t>(Total Operating Revenue - Operating Grants)/Debt service payments due within financial year)</t>
  </si>
  <si>
    <t>Phase-in compliance assessment description rating</t>
  </si>
  <si>
    <t>0 = non-compliance (schedule/table etc not presented)</t>
  </si>
  <si>
    <t>1 = minimal compliance (schedule/table presented with minimal information)</t>
  </si>
  <si>
    <t>Funding measures</t>
  </si>
  <si>
    <t>4. Insert description of each other organisation (e.g. charity)</t>
  </si>
  <si>
    <t>A, B and C. Audited actual as per the audited financial statements. If audited amounts are unavailable, unaudited amounts must be provided with a note stating these are unaudited</t>
  </si>
  <si>
    <t>Head29</t>
  </si>
  <si>
    <t>Head30</t>
  </si>
  <si>
    <t>Head31</t>
  </si>
  <si>
    <t>Head32</t>
  </si>
  <si>
    <t>Head33</t>
  </si>
  <si>
    <t>Head34</t>
  </si>
  <si>
    <t>Annual target 2007/08</t>
  </si>
  <si>
    <t>Revised target 2007/08</t>
  </si>
  <si>
    <t>Depart14</t>
  </si>
  <si>
    <t>DEP1</t>
  </si>
  <si>
    <t>DEP2</t>
  </si>
  <si>
    <t>DEP3</t>
  </si>
  <si>
    <t>DEP4</t>
  </si>
  <si>
    <t>DEP5</t>
  </si>
  <si>
    <t>DEP6</t>
  </si>
  <si>
    <t>DEP7</t>
  </si>
  <si>
    <t>DEP8</t>
  </si>
  <si>
    <t>DEP9</t>
  </si>
  <si>
    <t>DC13 Chris Hani</t>
  </si>
  <si>
    <t>e-mail Address</t>
  </si>
  <si>
    <t>DC15 O .R. Tambo</t>
  </si>
  <si>
    <t>DC16 Xhariep</t>
  </si>
  <si>
    <t>FS FREE STATE</t>
  </si>
  <si>
    <t>B. CONTACT INFORMATION</t>
  </si>
  <si>
    <t>Postal address:</t>
  </si>
  <si>
    <t>DC18 Lejweleputswa</t>
  </si>
  <si>
    <t>P.O. Box</t>
  </si>
  <si>
    <t>DC19 Thabo Mofutsanyana</t>
  </si>
  <si>
    <t>City / Town</t>
  </si>
  <si>
    <t>Postal Code</t>
  </si>
  <si>
    <t>DC20 Fezile Dabi</t>
  </si>
  <si>
    <t>DC12 Amathole</t>
  </si>
  <si>
    <t>DC39 Dr Ruth Segomotsi Mompati</t>
  </si>
  <si>
    <t>DC40 Dr Kenneth Kaunda</t>
  </si>
  <si>
    <t>EC153 Ngquza Hills</t>
  </si>
  <si>
    <t>EC441 Matatiele</t>
  </si>
  <si>
    <t>EC442 Umzimvubu</t>
  </si>
  <si>
    <t>FS194 Maluti-a-Phofung</t>
  </si>
  <si>
    <t>KZN000 eThekwini</t>
  </si>
  <si>
    <t>KZN211 Vulamehlo</t>
  </si>
  <si>
    <t>KZN212 Umdoni</t>
  </si>
  <si>
    <t>KZN213 Umzumbe</t>
  </si>
  <si>
    <t>KZN214 uMuziwabantu</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</si>
  <si>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</si>
  <si>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</si>
  <si>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</si>
  <si>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</si>
  <si>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</si>
  <si>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</si>
  <si>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</si>
  <si>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</si>
  <si>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</si>
  <si>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</si>
  <si>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</si>
  <si>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</si>
  <si>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</si>
  <si>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</si>
  <si>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</si>
  <si>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</si>
  <si>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</si>
  <si>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</si>
  <si>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</si>
  <si>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</si>
  <si>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</si>
  <si>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</si>
  <si>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Health</t>
  </si>
  <si>
    <t>11. Indicative of realistic current arrear debtor collection targets (prior to 2003/04 revenue not available for high capacity municipalities and later for other capacity classifications)</t>
  </si>
  <si>
    <t>Ratepayer &amp; Other revenue</t>
  </si>
  <si>
    <t>Audited Actual</t>
  </si>
  <si>
    <t>Medium Term Revenue and Expenditure Framework</t>
  </si>
  <si>
    <t>Adjusted Budget</t>
  </si>
  <si>
    <t>Full Year Forecast</t>
  </si>
  <si>
    <t>Service charges - electricity revenue</t>
  </si>
  <si>
    <t>Service charges - water revenue</t>
  </si>
  <si>
    <t>MTREF:</t>
  </si>
  <si>
    <t>Consolidated Information</t>
  </si>
  <si>
    <t>MTREF Linked:</t>
  </si>
  <si>
    <t>Fin Year:</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</si>
  <si>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</si>
  <si>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</si>
  <si>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Sub Total - Other Municipal Staff</t>
  </si>
  <si>
    <t xml:space="preserve">R Thousand </t>
  </si>
  <si>
    <t>Sales by market establishments</t>
  </si>
  <si>
    <t>Other Sales</t>
  </si>
  <si>
    <t>Capital expenditure - Municipal Vote</t>
  </si>
  <si>
    <t xml:space="preserve">Department 14 - </t>
  </si>
  <si>
    <t>Capital payments % of capital expenditure</t>
  </si>
  <si>
    <t>2.</t>
  </si>
  <si>
    <t>Electricity/other energy</t>
  </si>
  <si>
    <t>Household/demographics (000)</t>
  </si>
  <si>
    <t>Number of people in municipal area</t>
  </si>
  <si>
    <t>Number of poor people in municipal area</t>
  </si>
  <si>
    <t>Number of households in municipal area</t>
  </si>
  <si>
    <t>Number of poor households in municipal area</t>
  </si>
  <si>
    <t>3. Include 'Construction-work-in-progress' (disclosed separately in annual financial statements)</t>
  </si>
  <si>
    <t>Finance</t>
  </si>
  <si>
    <t xml:space="preserve">Table A1 </t>
  </si>
  <si>
    <t xml:space="preserve">Table A2 </t>
  </si>
  <si>
    <t xml:space="preserve">Table A3 </t>
  </si>
  <si>
    <t xml:space="preserve">Table A4 </t>
  </si>
  <si>
    <t xml:space="preserve">Table A5 </t>
  </si>
  <si>
    <t xml:space="preserve">Table A6 </t>
  </si>
  <si>
    <t xml:space="preserve">Table A7 </t>
  </si>
  <si>
    <t xml:space="preserve">Table A8 </t>
  </si>
  <si>
    <t xml:space="preserve">Table A9 </t>
  </si>
  <si>
    <t xml:space="preserve">Table A10 </t>
  </si>
  <si>
    <t>NOTE: This was an early preliminary suggestion aligned to the tables - it should be deleted before publishing</t>
  </si>
  <si>
    <t>UNDER DEVELOPMENT - 2008/09 PROJECT</t>
  </si>
  <si>
    <t xml:space="preserve">Chart A1 </t>
  </si>
  <si>
    <t xml:space="preserve">Chart A2 </t>
  </si>
  <si>
    <t xml:space="preserve">Chart A3 </t>
  </si>
  <si>
    <t xml:space="preserve">Chart A4 </t>
  </si>
  <si>
    <t xml:space="preserve">Chart A5 </t>
  </si>
  <si>
    <t xml:space="preserve">Chart A6 </t>
  </si>
  <si>
    <t xml:space="preserve">Chart A7 </t>
  </si>
  <si>
    <t xml:space="preserve">Chart A8 </t>
  </si>
  <si>
    <t xml:space="preserve">Chart A9 </t>
  </si>
  <si>
    <t xml:space="preserve">Chart A10 </t>
  </si>
  <si>
    <t xml:space="preserve">Chart A11 </t>
  </si>
  <si>
    <t xml:space="preserve">Chart A12 </t>
  </si>
  <si>
    <t xml:space="preserve">Chart A13 </t>
  </si>
  <si>
    <t xml:space="preserve">Chart A14 </t>
  </si>
  <si>
    <t xml:space="preserve">Chart A15 </t>
  </si>
  <si>
    <t xml:space="preserve">Chart A16 </t>
  </si>
  <si>
    <t xml:space="preserve">Chart A17 </t>
  </si>
  <si>
    <t xml:space="preserve">Chart A18 </t>
  </si>
  <si>
    <t xml:space="preserve">Chart A19 </t>
  </si>
  <si>
    <t xml:space="preserve">Chart A20 </t>
  </si>
  <si>
    <t xml:space="preserve">Chart A21 </t>
  </si>
  <si>
    <t xml:space="preserve">Chart A22 </t>
  </si>
  <si>
    <t xml:space="preserve">Chart A23 </t>
  </si>
  <si>
    <t>Piped water inside yard (but not in dwelling)</t>
  </si>
  <si>
    <t>Water:</t>
  </si>
  <si>
    <t>Total Operating Revenue</t>
  </si>
  <si>
    <t>Total Operating Expenditure</t>
  </si>
  <si>
    <t>Operating Performance Surplus/(Deficit)</t>
  </si>
  <si>
    <t>Revenue</t>
  </si>
  <si>
    <t>% Increase in Total Operating Revenue</t>
  </si>
  <si>
    <t>% Increase in Property Rates Revenue</t>
  </si>
  <si>
    <t>% Increase in Electricity Revenue</t>
  </si>
  <si>
    <t>% Increase in Property Rates &amp; Services Charges</t>
  </si>
  <si>
    <t>Expenditure</t>
  </si>
  <si>
    <t>% Increase in Total Operating Expenditure</t>
  </si>
  <si>
    <t>% Increase in Employee Costs</t>
  </si>
  <si>
    <t>% Increase in Electricity Bulk Purchases</t>
  </si>
  <si>
    <t>Average Cost Per Councillor (Remuneration)</t>
  </si>
  <si>
    <t>R&amp;M % of PPE</t>
  </si>
  <si>
    <t>Asset Renewal and R&amp;M as a % of PPE</t>
  </si>
  <si>
    <t>Capital Revenue</t>
  </si>
  <si>
    <t>Internally Funded &amp; Other (R'000)</t>
  </si>
  <si>
    <t>Borrowing (R'000)</t>
  </si>
  <si>
    <t>Grant Funding and Other (R'000)</t>
  </si>
  <si>
    <t>Internally Generated funds % of Non Grant Funding</t>
  </si>
  <si>
    <t>Borrowing % of Non Grant Funding</t>
  </si>
  <si>
    <t>Grant Funding % of Total Funding</t>
  </si>
  <si>
    <t>Capital Expenditure</t>
  </si>
  <si>
    <t>Total Capital Programme (R'000)</t>
  </si>
  <si>
    <t>Asset Renewal</t>
  </si>
  <si>
    <t>Asset Renewal % of Total Capital Expenditure</t>
  </si>
  <si>
    <t>Cash Receipts % of Rate Payer &amp; Other</t>
  </si>
  <si>
    <t>Cash Coverage Ratio</t>
  </si>
  <si>
    <t>Credit Rating (2009/10)</t>
  </si>
  <si>
    <t>Capital Charges to Operating</t>
  </si>
  <si>
    <t>Borrowing Receipts % of Capital Expenditure</t>
  </si>
  <si>
    <t>Free Services</t>
  </si>
  <si>
    <t>Free Basic Services as a % of Equitable Share</t>
  </si>
  <si>
    <t>Free Services as a % of Operating Revenue 
(excl operational transfers)</t>
  </si>
  <si>
    <t>DC14 Joe Gqabi</t>
  </si>
  <si>
    <t>KZN KWAZULU-NATAL</t>
  </si>
  <si>
    <t>DC45 John Taolo Gaetsewe</t>
  </si>
  <si>
    <t>EC109 Kou-Kamma</t>
  </si>
  <si>
    <t>GT484 Merafong City</t>
  </si>
  <si>
    <t>KZN215 Ezinqoleni</t>
  </si>
  <si>
    <t>KZN273 The Big 5 False Bay</t>
  </si>
  <si>
    <t>KZN281 Mfolozi</t>
  </si>
  <si>
    <t>KZN284 uMlalazi</t>
  </si>
  <si>
    <t>LIM471 Ephraim Mogale</t>
  </si>
  <si>
    <t>LIM473 Makhuduthamaga</t>
  </si>
  <si>
    <t>MP304 Pixley Ka Seme (MP)</t>
  </si>
  <si>
    <t>MP311 Victor Khanye</t>
  </si>
  <si>
    <t>NC451 Joe Morolong</t>
  </si>
  <si>
    <t>WC000 City of Cape Town</t>
  </si>
  <si>
    <t>WC026 Langeberg</t>
  </si>
  <si>
    <t>Property rates (R value threshold)</t>
  </si>
  <si>
    <t xml:space="preserve">Water Services Operating Subsidy </t>
  </si>
  <si>
    <t>Energy Efficiency  and Demand Management</t>
  </si>
  <si>
    <t>Integrated National Electrification Programme</t>
  </si>
  <si>
    <t xml:space="preserve">Municipal Drought Relief </t>
  </si>
  <si>
    <t>2010 FIFA World Cup Operating</t>
  </si>
  <si>
    <t>Neighbourhood Development Partnership</t>
  </si>
  <si>
    <t>2010 FIFA World Cup Stadiums Development</t>
  </si>
  <si>
    <t>Rural Transport Services and Infrastructure</t>
  </si>
  <si>
    <t xml:space="preserve">Rural Households Infrastructure </t>
  </si>
  <si>
    <t>Regional Bulk Infrastructure</t>
  </si>
  <si>
    <t>Electricity Demand Side Management</t>
  </si>
  <si>
    <t>EPWP Incentive</t>
  </si>
  <si>
    <t>Agriculture</t>
  </si>
  <si>
    <t>Education</t>
  </si>
  <si>
    <t xml:space="preserve">Housing and Local Government </t>
  </si>
  <si>
    <t>Other Departments</t>
  </si>
  <si>
    <t xml:space="preserve">Public Works, Roads, Transport </t>
  </si>
  <si>
    <t>Sport and Recreation</t>
  </si>
  <si>
    <t xml:space="preserve"> Public Transport and Systems</t>
  </si>
  <si>
    <t xml:space="preserve"> Municipal Infrastructure Grant (MIG)</t>
  </si>
  <si>
    <t>Municipal Systems Improvement</t>
  </si>
  <si>
    <t xml:space="preserve">Finance Management </t>
  </si>
  <si>
    <t xml:space="preserve">RSC Levy Replacement </t>
  </si>
  <si>
    <t>Local Government Equitable Share</t>
  </si>
  <si>
    <t>Health subsidy</t>
  </si>
  <si>
    <t>Ambulance subsidy</t>
  </si>
  <si>
    <t>High Level Outcome of Funding Compliance</t>
  </si>
  <si>
    <t>Surplus/(Deficit) Budgeted Operating Statement</t>
  </si>
  <si>
    <t>MTREF Funded (1) / Unfunded (0)</t>
  </si>
  <si>
    <t>Surplus/(Deficit) Considering Reserves and Cash Backing</t>
  </si>
  <si>
    <t>Repairs and Maintenance 
by Expenditure Item</t>
  </si>
  <si>
    <t>Contracted Services</t>
  </si>
  <si>
    <t>Other Expenditure</t>
  </si>
  <si>
    <t>Cash and Cash Equivalents (30 June 2012)</t>
  </si>
  <si>
    <t>8. Repairs and Maintenance is not a GRAP item. However to facilitate transparency, municipalities must provide a breakdown of the amounts included in the relevant GRAP items that will be spent on Repairs and Maintenance.</t>
  </si>
  <si>
    <t>9. Must reconcile with Repairs and Maintenance by Asset Class (Total Repairs and Maintenance) on Table SA34c.</t>
  </si>
  <si>
    <r>
      <t xml:space="preserve">MTREF Funded </t>
    </r>
    <r>
      <rPr>
        <b/>
        <sz val="9"/>
        <color indexed="10"/>
        <rFont val="Wingdings"/>
        <charset val="2"/>
      </rPr>
      <t>ü</t>
    </r>
    <r>
      <rPr>
        <b/>
        <sz val="9"/>
        <color indexed="10"/>
        <rFont val="Arial Narrow"/>
        <family val="2"/>
      </rPr>
      <t xml:space="preserve"> / Unfunded </t>
    </r>
    <r>
      <rPr>
        <b/>
        <sz val="9"/>
        <color indexed="10"/>
        <rFont val="Wingdings"/>
        <charset val="2"/>
      </rPr>
      <t>û</t>
    </r>
  </si>
  <si>
    <t>1,2</t>
  </si>
  <si>
    <t>1. Positions must be funded and aligned to the municipality's current organisational structure</t>
  </si>
  <si>
    <t>2. Full Time Equivalent (FTE). E.g. One full time person = 1FTE. A person working half time (say 4 hours out of 8) = 0.5FTE.</t>
  </si>
  <si>
    <t>3. s57 of the Systems Act</t>
  </si>
  <si>
    <t>4. Include only in Consolidated Statements</t>
  </si>
  <si>
    <t>5. Include municipal entity employees in Consolidated Statements</t>
  </si>
  <si>
    <t>6.  Include headcount (number fo persons, Not FTE) of managers and staff only (exclude councillors)</t>
  </si>
  <si>
    <t>7. Managers who provide the direction of a critical technical function</t>
  </si>
  <si>
    <t>8. Total number of employees working on these functions</t>
  </si>
  <si>
    <t>Average Cost Per Budgeted Employee Position (Remuneration)</t>
  </si>
  <si>
    <t>Renewal of Existing Assets as % of total capex</t>
  </si>
  <si>
    <t>DC2 Cape Winelands DM</t>
  </si>
  <si>
    <t>DC47 Sekhukhune</t>
  </si>
  <si>
    <t>DC7 Pixley Ka Seme (Nc)</t>
  </si>
  <si>
    <t>EC001 Buffalo City</t>
  </si>
  <si>
    <t>EC443 Mbizana</t>
  </si>
  <si>
    <t>EC444 Ntabankulu</t>
  </si>
  <si>
    <t>FS164 Naledi (Fs)</t>
  </si>
  <si>
    <t>FS196 Mantsopa</t>
  </si>
  <si>
    <t>MP312 Emalahleni (Mp)</t>
  </si>
  <si>
    <t>MP315 Thembisile Hani</t>
  </si>
  <si>
    <t>NW397 Molopo-Kagisano</t>
  </si>
  <si>
    <t>FS000 Mangaung</t>
  </si>
  <si>
    <t>Debt Impairment % of Total Billable Revenue</t>
  </si>
  <si>
    <t>Vote 1</t>
  </si>
  <si>
    <t>Vote 2</t>
  </si>
  <si>
    <t>Vote 3</t>
  </si>
  <si>
    <t>Vote 4</t>
  </si>
  <si>
    <t>Vote 5</t>
  </si>
  <si>
    <t>Vote 6</t>
  </si>
  <si>
    <t>Vote 7</t>
  </si>
  <si>
    <t>Vote 8</t>
  </si>
  <si>
    <t>Vote 9</t>
  </si>
  <si>
    <t>Vote 10</t>
  </si>
  <si>
    <t>Vote 11</t>
  </si>
  <si>
    <t>Vote 12</t>
  </si>
  <si>
    <t>Vote 13</t>
  </si>
  <si>
    <t>Vote 14</t>
  </si>
  <si>
    <t>Vote 15</t>
  </si>
  <si>
    <t>Asset Class</t>
  </si>
  <si>
    <t>Asset sub-class</t>
  </si>
  <si>
    <t>Heritage Assets</t>
  </si>
  <si>
    <t>Investment Properties</t>
  </si>
  <si>
    <t>Specialised vehicles - Refuse</t>
  </si>
  <si>
    <t>Specialised vehicles - Fire</t>
  </si>
  <si>
    <t>Specialised vehicles - Conservancy</t>
  </si>
  <si>
    <t>Specialised vehicles - Ambulances</t>
  </si>
  <si>
    <t>Other Assets</t>
  </si>
  <si>
    <t>Ref.</t>
  </si>
  <si>
    <t>Entity Capital expenditure</t>
  </si>
  <si>
    <t>Parent Capital expenditure</t>
  </si>
  <si>
    <t>3. As per Table SA34</t>
  </si>
  <si>
    <t>4. Projects that fall above the threshold values applicable to the municipality as identified in regulation 13 of the Municipal Budget and Reporting Regulations must be listed individually. Other projects by programme by Vote</t>
  </si>
  <si>
    <t>IDP Goal code 
2</t>
  </si>
  <si>
    <t>[Name of sub-vote]</t>
  </si>
  <si>
    <t>1.10</t>
  </si>
  <si>
    <t>2.10</t>
  </si>
  <si>
    <t>3.10</t>
  </si>
  <si>
    <t>4.10</t>
  </si>
  <si>
    <t>5.10</t>
  </si>
  <si>
    <t>6.10</t>
  </si>
  <si>
    <t>7.10</t>
  </si>
  <si>
    <t>8.10</t>
  </si>
  <si>
    <t>9.10</t>
  </si>
  <si>
    <t>10.10</t>
  </si>
  <si>
    <t>11.10</t>
  </si>
  <si>
    <t>12.10</t>
  </si>
  <si>
    <t>13.10</t>
  </si>
  <si>
    <t>14.10</t>
  </si>
  <si>
    <t>15.10</t>
  </si>
  <si>
    <t>Organisational Structure Sub-Votes</t>
  </si>
  <si>
    <t>Organisational Structure Votes</t>
  </si>
  <si>
    <t>[NAME OF VOTE 11]</t>
  </si>
  <si>
    <t>[NAME OF VOTE 12]</t>
  </si>
  <si>
    <t>[NAME OF VOTE 13]</t>
  </si>
  <si>
    <t>[NAME OF VOTE 14]</t>
  </si>
  <si>
    <t>[NAME OF VOTE 15]</t>
  </si>
  <si>
    <t>11.1 - [Name of sub-vote]</t>
  </si>
  <si>
    <t>12.1 - [Name of sub-vote]</t>
  </si>
  <si>
    <t>13.1 - [Name of sub-vote]</t>
  </si>
  <si>
    <t>14.1 - [Name of sub-vote]</t>
  </si>
  <si>
    <t>15.1 - [Name of sub-vote]</t>
  </si>
  <si>
    <t>Display Sub-Votes</t>
  </si>
  <si>
    <t>Groups of Individuals</t>
  </si>
  <si>
    <t>6. All descriptions should separate transfers for 'capital purposes' and 'operating purposes'</t>
  </si>
  <si>
    <t>5 Insert description of each other organisation (e.g. the aged, child-headed households)</t>
  </si>
  <si>
    <t>Cash Transfers to other municipalities</t>
  </si>
  <si>
    <t>TOTAL CASH TRANSFERS AND GRANTS</t>
  </si>
  <si>
    <t>Total Cash Transfers To Municipalities:</t>
  </si>
  <si>
    <t>Cash Transfers to Entities/Other External Mechanisms</t>
  </si>
  <si>
    <t>Total Cash Transfers To Entities/Ems'</t>
  </si>
  <si>
    <t>Cash Transfers to other Organs of State</t>
  </si>
  <si>
    <t>Total Cash Transfers To Other Organs Of State:</t>
  </si>
  <si>
    <t>Cash Transfers to Organisations</t>
  </si>
  <si>
    <t>Total Cash Transfers To Organisations</t>
  </si>
  <si>
    <t>Cash Transfers to Groups of Individuals</t>
  </si>
  <si>
    <t>Total Cash Transfers To Groups Of Individuals:</t>
  </si>
  <si>
    <t>Supporting Table SA34d</t>
  </si>
  <si>
    <t>Depreciation by Asset Class/Sub-class</t>
  </si>
  <si>
    <t>Total Depreciation</t>
  </si>
  <si>
    <t>Supporting Table SA12a</t>
  </si>
  <si>
    <t>Supporting Table SA12b</t>
  </si>
  <si>
    <t>Pension and UIF Contributions</t>
  </si>
  <si>
    <t>Cellphone Allowance</t>
  </si>
  <si>
    <t>6. Includes pension payments and employer contributions to medical aid</t>
  </si>
  <si>
    <t>Variable or Fixed interest rate</t>
  </si>
  <si>
    <t>Capital Guarantee
(Yes/ No)</t>
  </si>
  <si>
    <t>Commission Recipient</t>
  </si>
  <si>
    <t>Transfers and grants - other municipalities</t>
  </si>
  <si>
    <t>Transfers and grants - other</t>
  </si>
  <si>
    <t>Goal
Code</t>
  </si>
  <si>
    <t>Interest Rate 
3.</t>
  </si>
  <si>
    <t>Fixed</t>
  </si>
  <si>
    <t>Security</t>
  </si>
  <si>
    <t>Interest rate</t>
  </si>
  <si>
    <t>2. Goal code must be used on Table SA36</t>
  </si>
  <si>
    <t>Allocations to other priorities</t>
  </si>
  <si>
    <t>2. Balance of allocations not directly linked to an IDP strategic objective</t>
  </si>
  <si>
    <t>3. Balance of allocations not directly linked to an IDP strategic objective</t>
  </si>
  <si>
    <t>Other reserves</t>
  </si>
  <si>
    <t>5. Correct to seconds. Provide a logical starting point on networked infrastructure.</t>
  </si>
  <si>
    <t>Asset Sub-Class  
3</t>
  </si>
  <si>
    <t>Asset Class  
3</t>
  </si>
  <si>
    <t>4. Correct to seconds. Provide a logical starting point on networked infrastructure.</t>
  </si>
  <si>
    <t>GPS co-ordinates
4</t>
  </si>
  <si>
    <t>Check balance to A6</t>
  </si>
  <si>
    <t>R&amp;M as % Operating Expenditure</t>
  </si>
  <si>
    <t>CPI guideline</t>
  </si>
  <si>
    <t>Housing statistics</t>
  </si>
  <si>
    <t>Dwellings provided by municipality</t>
  </si>
  <si>
    <t>Dwellings provided by private sector</t>
  </si>
  <si>
    <t>Economic</t>
  </si>
  <si>
    <t>Collection rates</t>
  </si>
  <si>
    <t>Detail on the provision of municipal services for A10</t>
  </si>
  <si>
    <t>Total municipal services</t>
  </si>
  <si>
    <t>Municipal in-house services</t>
  </si>
  <si>
    <t>Municipal entity services</t>
  </si>
  <si>
    <t>Name of municipal entity</t>
  </si>
  <si>
    <t>Services provided by 'external mechanisms'</t>
  </si>
  <si>
    <t>Names of service providers</t>
  </si>
  <si>
    <t>8. Stand distance &lt;= 200m from dwelling</t>
  </si>
  <si>
    <t>9. Stand distance &gt; 200m from dwelling</t>
  </si>
  <si>
    <t>10. Borehole, spring, rain-water tank etc.</t>
  </si>
  <si>
    <t>11. Must agree to total number of households in municipal area</t>
  </si>
  <si>
    <t>Provide description of tariff structure where appropriate</t>
  </si>
  <si>
    <r>
      <t xml:space="preserve">Property rates </t>
    </r>
    <r>
      <rPr>
        <i/>
        <sz val="8"/>
        <rFont val="Arial Narrow"/>
        <family val="2"/>
      </rPr>
      <t>(rate in the Rand)</t>
    </r>
  </si>
  <si>
    <t>Residential properties</t>
  </si>
  <si>
    <t>Residential properties - vacant land</t>
  </si>
  <si>
    <t>Formal/informal settlements</t>
  </si>
  <si>
    <t>Small holdings</t>
  </si>
  <si>
    <t>Farm properties - used</t>
  </si>
  <si>
    <t>Farm properties - not used</t>
  </si>
  <si>
    <t>Industrial properties</t>
  </si>
  <si>
    <t>Business and commercial properties</t>
  </si>
  <si>
    <t>Communal land - residential</t>
  </si>
  <si>
    <t>Communal land - small holdings</t>
  </si>
  <si>
    <t>Communal land - farm property</t>
  </si>
  <si>
    <t>Communal land - business and commercial</t>
  </si>
  <si>
    <t>Communal land - other</t>
  </si>
  <si>
    <t>State-owned properties</t>
  </si>
  <si>
    <t>Municipal properties</t>
  </si>
  <si>
    <t>Public service infrastructure</t>
  </si>
  <si>
    <t>Privately owned towns serviced by the owner</t>
  </si>
  <si>
    <t>Restitution and redistribution properties</t>
  </si>
  <si>
    <t>Protected areas</t>
  </si>
  <si>
    <t>National monuments properties</t>
  </si>
  <si>
    <r>
      <t xml:space="preserve">Exemptions, reductions and rebates </t>
    </r>
    <r>
      <rPr>
        <i/>
        <sz val="8"/>
        <rFont val="Arial Narrow"/>
        <family val="2"/>
      </rPr>
      <t>(Rands)</t>
    </r>
  </si>
  <si>
    <t>General residential rebate</t>
  </si>
  <si>
    <t>Indigent rebate or exemption</t>
  </si>
  <si>
    <t xml:space="preserve">Pensioners/social grants rebate or exemption </t>
  </si>
  <si>
    <t>Temporary relief rebate or exemption</t>
  </si>
  <si>
    <t xml:space="preserve"> Bona fide farmers rebate or exemption</t>
  </si>
  <si>
    <t>List other rebates or exemptions</t>
  </si>
  <si>
    <t>[insert lines if necessary]</t>
  </si>
  <si>
    <t>Water tariffs</t>
  </si>
  <si>
    <t>Domestic</t>
  </si>
  <si>
    <r>
      <t xml:space="preserve">Basic charge/fixed fee </t>
    </r>
    <r>
      <rPr>
        <i/>
        <sz val="8"/>
        <rFont val="Arial Narrow"/>
        <family val="2"/>
      </rPr>
      <t>(Rands/month)</t>
    </r>
  </si>
  <si>
    <r>
      <t xml:space="preserve">Service point - vacant land </t>
    </r>
    <r>
      <rPr>
        <i/>
        <sz val="8"/>
        <rFont val="Arial Narrow"/>
        <family val="2"/>
      </rPr>
      <t>(Rands/month)</t>
    </r>
  </si>
  <si>
    <r>
      <t xml:space="preserve">Water usage - flat rate tariff </t>
    </r>
    <r>
      <rPr>
        <i/>
        <sz val="8"/>
        <rFont val="Arial Narrow"/>
        <family val="2"/>
      </rPr>
      <t>(c/kl)</t>
    </r>
  </si>
  <si>
    <t>Water usage - life line tariff</t>
  </si>
  <si>
    <t>(describe structure)</t>
  </si>
  <si>
    <t>Water usage - Block 1 (c/kl)</t>
  </si>
  <si>
    <t xml:space="preserve"> (fill in thresholds)</t>
  </si>
  <si>
    <t>Water usage - Block 2 (c/kl)</t>
  </si>
  <si>
    <t>Water usage - Block 3 (c/kl)</t>
  </si>
  <si>
    <t>Water usage - Block 4 (c/kl)</t>
  </si>
  <si>
    <t>[insert extra blocks if necessary]</t>
  </si>
  <si>
    <t>Waste water tariffs</t>
  </si>
  <si>
    <r>
      <t xml:space="preserve">Waste water - flat rate tariff </t>
    </r>
    <r>
      <rPr>
        <i/>
        <sz val="8"/>
        <rFont val="Arial Narrow"/>
        <family val="2"/>
      </rPr>
      <t>(c/kl)</t>
    </r>
  </si>
  <si>
    <t>Volumetric charge - Block 1 (c/kl)</t>
  </si>
  <si>
    <t>(fill in structure)</t>
  </si>
  <si>
    <t>Volumetric charge - Block 2 (c/kl)</t>
  </si>
  <si>
    <t>Volumetric charge - Block 3 (c/kl)</t>
  </si>
  <si>
    <t>Volumetric charge - Block 4 (c/kl)</t>
  </si>
  <si>
    <t>Electricity tariffs</t>
  </si>
  <si>
    <r>
      <t>Service point - vacant land</t>
    </r>
    <r>
      <rPr>
        <i/>
        <sz val="8"/>
        <rFont val="Arial Narrow"/>
        <family val="2"/>
      </rPr>
      <t xml:space="preserve"> (Rands/month)</t>
    </r>
  </si>
  <si>
    <t>FBE</t>
  </si>
  <si>
    <t>(how is this targeted?)</t>
  </si>
  <si>
    <t>(fill in thresholds)</t>
  </si>
  <si>
    <t>Waste management tariffs</t>
  </si>
  <si>
    <t>Street cleaning charge</t>
  </si>
  <si>
    <t>Basic charge/fixed fee</t>
  </si>
  <si>
    <t>80l bin - once a week</t>
  </si>
  <si>
    <t>250l bin - once a week</t>
  </si>
  <si>
    <t>1 If properties are not rated or zero rated this must be indicated as such</t>
  </si>
  <si>
    <t>R15 000 threshhold rebate</t>
  </si>
  <si>
    <t>Non-Cash Transfers to other municipalities</t>
  </si>
  <si>
    <t>Total Non-Cash Transfers To Municipalities:</t>
  </si>
  <si>
    <t>Non-Cash Transfers to Entities/Other External Mechanisms</t>
  </si>
  <si>
    <t>Total Non-Cash Transfers To Entities/Ems'</t>
  </si>
  <si>
    <t>Non-Cash Transfers to other Organs of State</t>
  </si>
  <si>
    <t>Total Non-Cash Transfers To Other Organs Of State:</t>
  </si>
  <si>
    <t>Non-Cash Grants to Organisations</t>
  </si>
  <si>
    <t>Total Non-Cash Grants To Organisations</t>
  </si>
  <si>
    <t>Total Non-Cash Grants To Groups Of Individuals:</t>
  </si>
  <si>
    <t>TOTAL NON-CASH TRANSFERS AND GRANTS</t>
  </si>
  <si>
    <t>No income</t>
  </si>
  <si>
    <t>1, 12</t>
  </si>
  <si>
    <t>Life-line tariff - meter</t>
  </si>
  <si>
    <t>Life-line tariff - prepaid</t>
  </si>
  <si>
    <r>
      <t>Flat rate tariff - meter</t>
    </r>
    <r>
      <rPr>
        <i/>
        <sz val="8"/>
        <rFont val="Arial Narrow"/>
        <family val="2"/>
      </rPr>
      <t xml:space="preserve"> (c/kwh)</t>
    </r>
  </si>
  <si>
    <r>
      <t>Flat rate tariff - prepaid</t>
    </r>
    <r>
      <rPr>
        <i/>
        <sz val="8"/>
        <rFont val="Arial Narrow"/>
        <family val="2"/>
      </rPr>
      <t>(c/kwh)</t>
    </r>
  </si>
  <si>
    <t>Meter - IBT Block 1 (c/kwh)</t>
  </si>
  <si>
    <t>Meter - IBT Block 2 (c/kwh)</t>
  </si>
  <si>
    <t>Meter - IBT Block 3 (c/kwh)</t>
  </si>
  <si>
    <t>Meter - IBT Block 4 (c/kwh)</t>
  </si>
  <si>
    <t>Meter - IBT Block 5 (c/kwh)</t>
  </si>
  <si>
    <t>Prepaid - IBT Block 1 (c/kwh)</t>
  </si>
  <si>
    <t>Prepaid - IBT Block 2 (c/kwh)</t>
  </si>
  <si>
    <t>Prepaid - IBT Block 3 (c/kwh)</t>
  </si>
  <si>
    <t>Prepaid - IBT Block 4 (c/kwh)</t>
  </si>
  <si>
    <t>Prepaid - IBT Block 5 (c/kwh)</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</si>
  <si>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</si>
  <si>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</si>
  <si>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</si>
  <si>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</si>
  <si>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</si>
  <si>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</si>
  <si>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</si>
  <si>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</si>
  <si>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</si>
  <si>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</si>
  <si>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</si>
  <si>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12. Household income categories assume an average 4 person household. Stats SA - Census 2011 Questionnaire</t>
  </si>
  <si>
    <t>1. Monthly household income threshold. Should include all sources of income.</t>
  </si>
  <si>
    <t>Monthly Account for Household - 'Indigent' Household receiving free basic services</t>
  </si>
  <si>
    <t>Monthly Account for Household - 'Middle Income Range'</t>
  </si>
  <si>
    <t xml:space="preserve">Monthly Account for Household - 'Affordable Range' </t>
  </si>
  <si>
    <t>1. Use as basis property value of R700 000, 1 000 kWh electricity and 30kl water</t>
  </si>
  <si>
    <t>2. Use as basis property value  of R500 000 and R700 000, 500 kWh electricity and 25kl water</t>
  </si>
  <si>
    <t>Unspent Borrowing - Categorised by type</t>
  </si>
  <si>
    <t>Total Unspent Borrowing</t>
  </si>
  <si>
    <t>Capital Charges to Own Revenue</t>
  </si>
  <si>
    <t>Cash transfers and grants</t>
  </si>
  <si>
    <t>Non-cash transfers and grants</t>
  </si>
  <si>
    <t>Total transfers and grants</t>
  </si>
  <si>
    <t>Monthly household income (no. of households)</t>
  </si>
  <si>
    <t>Poverty profiles (no. of households)</t>
  </si>
  <si>
    <t>13. Based on National poverty line of R515 per capita per month (2008 prices), assuming an average household size of 4 persons</t>
  </si>
  <si>
    <t>&lt; R2 060 per household per month</t>
  </si>
  <si>
    <t>Motor Vehicle Allowance</t>
  </si>
  <si>
    <t>Housing Allowances</t>
  </si>
  <si>
    <t>Depreciation resulting from revaluation of PPE</t>
  </si>
  <si>
    <t>10. Only applicable to municipalities that have adopted the 'revaluation method' in GRAP 17. The aim is to prevent overstating 'depreciation and asset impairment'</t>
  </si>
  <si>
    <t>Finance charges &amp; Repayment of borrowing /Own Revenue</t>
  </si>
  <si>
    <t>Board Fees</t>
  </si>
  <si>
    <t>Creditors to Cash and Investments</t>
  </si>
  <si>
    <t>3. If 'variable' is selected in column F, input interest rate range</t>
  </si>
  <si>
    <t>Commission Paid (Rands)</t>
  </si>
  <si>
    <t>Multi-year appropriation for 2012/13 
in the 2011/12 Annual Budget</t>
  </si>
  <si>
    <t>Multi-year appropriation for 2013/14 
in the 2011/12 Annual Budget</t>
  </si>
  <si>
    <t xml:space="preserve">New multi-year appropriations 
(funds for new and existing projects) </t>
  </si>
  <si>
    <t>Appropriation for 2012/13</t>
  </si>
  <si>
    <t>Adjustments in 2011/12</t>
  </si>
  <si>
    <t>Appropriation carried forward</t>
  </si>
  <si>
    <t>Debtors collection assumptions</t>
  </si>
  <si>
    <t>1. Depreciation based on write down values. Not including Depreciation resulting from revaluation.</t>
  </si>
  <si>
    <t>`</t>
  </si>
  <si>
    <t>Downward adjustments for 2012/13</t>
  </si>
  <si>
    <t>Balance outstanding - debtors</t>
  </si>
  <si>
    <t>Estimate of debtors collection rate</t>
  </si>
  <si>
    <t>Creditors due</t>
  </si>
  <si>
    <t>Household service targets</t>
  </si>
  <si>
    <t xml:space="preserve">Water </t>
  </si>
  <si>
    <t>Energy</t>
  </si>
  <si>
    <t>Check (no. of households)</t>
  </si>
  <si>
    <t>Debtors</t>
  </si>
  <si>
    <t>15. Subject to figures provided in Schedule.</t>
  </si>
  <si>
    <t>3. Use as basis property value of R 300 000, 350kWh electricity and 20kl water (50 kWh electricity and 6 kl water free)</t>
  </si>
  <si>
    <t>No.</t>
  </si>
  <si>
    <t>1.</t>
  </si>
  <si>
    <t xml:space="preserve">
Contributions
</t>
  </si>
  <si>
    <t>3. In kind benefits (e.g. provision of living quarters) must be shown as the cost (full market value) to the municipality, as part of the relevant allowance</t>
  </si>
  <si>
    <t>6,7</t>
  </si>
  <si>
    <t>2. Total package must equal the total cost to the municipality</t>
  </si>
  <si>
    <t>3. List each political office bearer by designation. Provide a total for all other councillors</t>
  </si>
  <si>
    <t>4. Political office bearer is defined in MFMA s 1: speaker, executive mayor, deputy executive mayor, member of executive committee,</t>
  </si>
  <si>
    <t>5. Also list each senior manager reporting to MM by designation and each official with package &gt;= senior manager by designation</t>
  </si>
  <si>
    <t>6. List each entity where municipality has an interest and state percentage ownership and control</t>
  </si>
  <si>
    <t>7. List each senior manager reporting to the CEO of an Entity by designation</t>
  </si>
  <si>
    <t>8. Must reconcile to relevant section of Table SA24</t>
  </si>
  <si>
    <t>9. Must reconcile to totals shown for the budget year of Table SA22</t>
  </si>
  <si>
    <t>Current Debtors Collection Rate (Cash receipts % of Ratepayer &amp; Other revenue)</t>
  </si>
  <si>
    <t>Individually Approved
(Yes/No)</t>
  </si>
  <si>
    <t xml:space="preserve">Asset Class     
</t>
  </si>
  <si>
    <t xml:space="preserve">Asset Sub-Class   
</t>
  </si>
  <si>
    <r>
      <t>GPS co-ordinates</t>
    </r>
    <r>
      <rPr>
        <b/>
        <sz val="8"/>
        <rFont val="Arial Narrow"/>
        <family val="2"/>
      </rPr>
      <t xml:space="preserve">
</t>
    </r>
  </si>
  <si>
    <t>6. Distinguish projects approved in terms of MFMA section 19(1)(b) and MRRR Regulation 13</t>
  </si>
  <si>
    <t>SA16 - Investments</t>
  </si>
  <si>
    <t>SA36, SA37 - Capital projects</t>
  </si>
  <si>
    <t>2. As per Table SA6</t>
  </si>
  <si>
    <t>www.ubuntu.gov.za</t>
  </si>
  <si>
    <t>info@ubuntu.gov.za</t>
  </si>
  <si>
    <t>X329</t>
  </si>
  <si>
    <t>Victoria West</t>
  </si>
  <si>
    <t>78 Church Street</t>
  </si>
  <si>
    <t>053 621 0026</t>
  </si>
  <si>
    <t>053 621 0368</t>
  </si>
  <si>
    <t>Moira Rigard</t>
  </si>
  <si>
    <t>Martin Fillis</t>
  </si>
  <si>
    <t>072 108 9353</t>
  </si>
  <si>
    <t>mfillis@ubuntu.gov.za</t>
  </si>
  <si>
    <t>Levona Plaatjies</t>
  </si>
  <si>
    <t>072 535 2950</t>
  </si>
  <si>
    <t>cfo@ubuntu.gov.za</t>
  </si>
  <si>
    <t>Bonita Nhahalua</t>
  </si>
  <si>
    <t>079 306 2947</t>
  </si>
  <si>
    <t>bonita@ubuntu.gov.za</t>
  </si>
  <si>
    <t>Paula Jantjies</t>
  </si>
  <si>
    <t>073 043 3422</t>
  </si>
  <si>
    <t>pjantjies@ubuntu.gov.za</t>
  </si>
  <si>
    <t>Budget &amp; Treasury</t>
  </si>
  <si>
    <t>Management Services</t>
  </si>
  <si>
    <t>Nature Reserve</t>
  </si>
  <si>
    <t>Property Tax</t>
  </si>
  <si>
    <t>Community &amp; Social Services</t>
  </si>
  <si>
    <t>Aerodome</t>
  </si>
  <si>
    <t>Abbatoir</t>
  </si>
  <si>
    <t>Library</t>
  </si>
  <si>
    <t>Administration</t>
  </si>
  <si>
    <t>Licences</t>
  </si>
  <si>
    <t>Cemetries</t>
  </si>
  <si>
    <t>Executive &amp; Council</t>
  </si>
  <si>
    <t>Council General Expenses</t>
  </si>
  <si>
    <t>Buildings and Offices</t>
  </si>
  <si>
    <t>Municipal Staff Housing</t>
  </si>
  <si>
    <t>Health Services</t>
  </si>
  <si>
    <t>Planning &amp; Development</t>
  </si>
  <si>
    <t>Public Works</t>
  </si>
  <si>
    <t>Roads and Stormwater Drainage</t>
  </si>
  <si>
    <t>Commonage</t>
  </si>
  <si>
    <t>Sunrise</t>
  </si>
  <si>
    <t>Public Safety</t>
  </si>
  <si>
    <t>Fire Brigade</t>
  </si>
  <si>
    <t>Sport &amp; Recreation</t>
  </si>
  <si>
    <t>Parks and Recreation</t>
  </si>
  <si>
    <t>Sewerage and Sanitation</t>
  </si>
  <si>
    <t>Cleansing</t>
  </si>
  <si>
    <t>1.1 - Management Services</t>
  </si>
  <si>
    <t>1.2 - Finance</t>
  </si>
  <si>
    <t>1.3 - Nature Reserve</t>
  </si>
  <si>
    <t>1.4 - Property Tax</t>
  </si>
  <si>
    <t>2.1 - Aerodome</t>
  </si>
  <si>
    <t>2.2 - Abbatoir</t>
  </si>
  <si>
    <t>2.3 - Library</t>
  </si>
  <si>
    <t>2.4 - Administration</t>
  </si>
  <si>
    <t>2.5 - Licences</t>
  </si>
  <si>
    <t>2.6 - Cemetries</t>
  </si>
  <si>
    <t>3.1 - Electricity</t>
  </si>
  <si>
    <t>4.1 - Council General Expenses</t>
  </si>
  <si>
    <t>4.2 - Buildings and Offices</t>
  </si>
  <si>
    <t>4.3 - Municipal Staff Housing</t>
  </si>
  <si>
    <t>5.1 - Health Services</t>
  </si>
  <si>
    <t>6.1 - Public Works</t>
  </si>
  <si>
    <t>6.2 - Roads and Stormwater Drainage</t>
  </si>
  <si>
    <t>6.3 - Commonage</t>
  </si>
  <si>
    <t>6.4 - Sunrise</t>
  </si>
  <si>
    <t>7.1 - Fire Brigade</t>
  </si>
  <si>
    <t>8.1 - Parks and Recreation</t>
  </si>
  <si>
    <t>9.2 - Cleansing</t>
  </si>
  <si>
    <t>9.1 - Sewerage and Sanitation</t>
  </si>
  <si>
    <t>10.1 - Water Distribution</t>
  </si>
  <si>
    <t>Insurance</t>
  </si>
  <si>
    <t>Training</t>
  </si>
  <si>
    <t>Travel and subsistence</t>
  </si>
  <si>
    <t>Safety clothes</t>
  </si>
  <si>
    <t>Sundry Income</t>
  </si>
  <si>
    <t>Telephone</t>
  </si>
  <si>
    <t>Fuel Cost</t>
  </si>
  <si>
    <t>Tyres</t>
  </si>
  <si>
    <t>License Fees</t>
  </si>
  <si>
    <t>Operating grant expenditure</t>
  </si>
  <si>
    <t>Stock Adjustments</t>
  </si>
  <si>
    <t>Third Party Payments</t>
  </si>
  <si>
    <t>Printing and stationery</t>
  </si>
  <si>
    <t>Bank Charges</t>
  </si>
  <si>
    <t>1030/4120/0000</t>
  </si>
  <si>
    <t>1040/4120/0000</t>
  </si>
  <si>
    <t>Fair Value Adjustments</t>
  </si>
  <si>
    <t>Sale of Game</t>
  </si>
  <si>
    <t>Membership Fees</t>
  </si>
  <si>
    <t>Advertising</t>
  </si>
  <si>
    <t>Legal Cost</t>
  </si>
  <si>
    <t>Skills development levy</t>
  </si>
  <si>
    <t>Paupers Funerals</t>
  </si>
  <si>
    <t>Job Creation</t>
  </si>
  <si>
    <t>Actuarial Losses</t>
  </si>
  <si>
    <t>Actuarial Gains</t>
  </si>
  <si>
    <t>Entertainment Expenses</t>
  </si>
  <si>
    <t>Contribution to Womens League</t>
  </si>
  <si>
    <t>1090/4120/0000</t>
  </si>
  <si>
    <t>Project Expenditure - Own Funds</t>
  </si>
  <si>
    <t>Professional Fees</t>
  </si>
  <si>
    <t>Penalties</t>
  </si>
  <si>
    <t>1130/4120/0000</t>
  </si>
  <si>
    <t>Water Research</t>
  </si>
  <si>
    <t>Vote 1 - Budget &amp; Treasury</t>
  </si>
  <si>
    <t>Vote 2 - Community &amp; Social Services</t>
  </si>
  <si>
    <t>Vote 3 - Electricity</t>
  </si>
  <si>
    <t>Vote 4 - Executive &amp; Council</t>
  </si>
  <si>
    <t>Vote 5 - Health</t>
  </si>
  <si>
    <t>Vote 6 - Planning &amp; Development</t>
  </si>
  <si>
    <t>Vote 7 - Public Safety</t>
  </si>
  <si>
    <t>Vote 8 - Sport &amp; Recreation</t>
  </si>
  <si>
    <t>Vote 9 - Waste Management</t>
  </si>
  <si>
    <t>Vote 10 - Water</t>
  </si>
  <si>
    <t>Free Hampers</t>
  </si>
  <si>
    <t>Total Service charges - electricity revenue</t>
  </si>
  <si>
    <t>Total Service charges - water revenue</t>
  </si>
  <si>
    <t>Total Service charges - sanitation revenue</t>
  </si>
  <si>
    <t>Public Contributions and donations</t>
  </si>
  <si>
    <t>Traffic Systems</t>
  </si>
  <si>
    <t>Departmental Charges</t>
  </si>
  <si>
    <t>Other Health</t>
  </si>
  <si>
    <t>Free Water Subsidie (indigents)</t>
  </si>
  <si>
    <t>Free Elec Subsidie (indigents)</t>
  </si>
  <si>
    <t>Free Refuse Subsidie (indigents)</t>
  </si>
  <si>
    <t>Free Sewerage Subsidie (indigents)</t>
  </si>
  <si>
    <t>Technical Manager</t>
  </si>
  <si>
    <t xml:space="preserve"> Deputy Technical Manager</t>
  </si>
  <si>
    <t xml:space="preserve"> LED Manager</t>
  </si>
  <si>
    <t>D1000</t>
  </si>
  <si>
    <t>D6000</t>
  </si>
  <si>
    <t>D2000</t>
  </si>
  <si>
    <t>D2100</t>
  </si>
  <si>
    <t>D7000</t>
  </si>
  <si>
    <t>Other op vote 4120</t>
  </si>
  <si>
    <t>Head of Corporate Services</t>
  </si>
  <si>
    <t>01/07/2008</t>
  </si>
  <si>
    <t>30/06/2013</t>
  </si>
  <si>
    <t xml:space="preserve">FNB -Subsidie  Kerkstraat </t>
  </si>
  <si>
    <t>1 Yr</t>
  </si>
  <si>
    <t>6.5 - 8.34%</t>
  </si>
  <si>
    <t>na</t>
  </si>
  <si>
    <t>February 2013</t>
  </si>
  <si>
    <t>May 2013</t>
  </si>
  <si>
    <t>New</t>
  </si>
  <si>
    <t>Julie</t>
  </si>
  <si>
    <t>Maart</t>
  </si>
  <si>
    <t>Junie</t>
  </si>
  <si>
    <t>Planning &amp; development</t>
  </si>
  <si>
    <t>Community &amp; social services</t>
  </si>
  <si>
    <t>Budget &amp; treasury</t>
  </si>
  <si>
    <t>Executive &amp; council</t>
  </si>
  <si>
    <t>Sport &amp; recreation</t>
  </si>
  <si>
    <t>Reticulation Water</t>
  </si>
  <si>
    <t>Capital Program</t>
  </si>
  <si>
    <t>Small Assets</t>
  </si>
  <si>
    <t>S</t>
  </si>
  <si>
    <t>Aug</t>
  </si>
  <si>
    <t>Sept</t>
  </si>
  <si>
    <t>Okt</t>
  </si>
  <si>
    <t>Nov</t>
  </si>
  <si>
    <t>Des</t>
  </si>
  <si>
    <t>Jan</t>
  </si>
  <si>
    <t>Feb</t>
  </si>
  <si>
    <t>Mei</t>
  </si>
  <si>
    <t>Totaal</t>
  </si>
  <si>
    <t>Long Service awards</t>
  </si>
  <si>
    <t>Good Governance</t>
  </si>
  <si>
    <t>To build an institution capable of effective delivery with sound administration and good governance practices</t>
  </si>
  <si>
    <t>Sustainable Infrastructure Development</t>
  </si>
  <si>
    <t xml:space="preserve">Provide Sustainable Infrastructure Development by improving and reconstructing access roads, other streets and storm water. </t>
  </si>
  <si>
    <t>Sustainable Basic Services</t>
  </si>
  <si>
    <t>To provide adequate sustainable basic services for improved quality of life for our communities by eradicating service delivery backlogs and providing sustainable electricity.</t>
  </si>
  <si>
    <t>To provide adequate sustainable basic services for improved quality of life for our communities by eradicating service delivery backlogs and providing sustainable quality water.</t>
  </si>
  <si>
    <t>Social Development</t>
  </si>
  <si>
    <t>To create a healthy and sustainable environment by improving social services and the maintenance of public facilities and buildings.</t>
  </si>
  <si>
    <t>To create and maintain public areas, sportsfields and resorts for the benefit of the community.</t>
  </si>
  <si>
    <t>Financial Viability</t>
  </si>
  <si>
    <t>To create an environment of effective, accountable and viable financial management with reliable information technology and accurate database by fully implementting all MFMA regulations and reforms</t>
  </si>
  <si>
    <t>Safety &amp; Security</t>
  </si>
  <si>
    <t>Promote a healthy municipal area.</t>
  </si>
  <si>
    <t xml:space="preserve">To provide adequate sustainable basic services for improved quality of life for our communities by eradicating service delivery backlogs and providing high quality sewerage and sanitation and other waste services. </t>
  </si>
  <si>
    <t>To create a safe and secure environment by providing fire brigade services.</t>
  </si>
  <si>
    <t>Planning and Development</t>
  </si>
  <si>
    <t>Upgrading of streets and stormwater</t>
  </si>
  <si>
    <t>Upgrading of infrastructure to level and standards established by enginers</t>
  </si>
  <si>
    <t>Completion of project</t>
  </si>
  <si>
    <t>Finance Management Grant</t>
  </si>
  <si>
    <t>Municipal Systems Improvement Grant</t>
  </si>
  <si>
    <t>Skills Development Fund</t>
  </si>
  <si>
    <t>Renovations and Repair of Sport</t>
  </si>
  <si>
    <t>Project Survey of Land</t>
  </si>
  <si>
    <t>Project Sanitation Mandela Square</t>
  </si>
  <si>
    <t>Department of water and forestry</t>
  </si>
  <si>
    <t>Project Water Loxton</t>
  </si>
  <si>
    <t>Project Ubuntu Waterservice Plan</t>
  </si>
  <si>
    <t>INEG</t>
  </si>
  <si>
    <t>Drought Relief</t>
  </si>
  <si>
    <t>Sport Development</t>
  </si>
  <si>
    <t>Solid Waste Site</t>
  </si>
  <si>
    <t>O &amp; M Sewerage Pipe</t>
  </si>
  <si>
    <t>Project Sanitation Pumpstation</t>
  </si>
  <si>
    <t>Roads (De Ville Street)</t>
  </si>
  <si>
    <t>Water Project</t>
  </si>
  <si>
    <t>Write Downs</t>
  </si>
  <si>
    <t>Transfer to/from debtors</t>
  </si>
  <si>
    <t>NC071 Ubuntu - Table A2 Budgeted Financial Performance (revenue and expenditure by standard classification)</t>
  </si>
  <si>
    <t>Standard Classification Description</t>
  </si>
  <si>
    <t>2008/9</t>
  </si>
  <si>
    <t>2009/10</t>
  </si>
  <si>
    <t>2010/11</t>
  </si>
  <si>
    <t>Current Year 2011/12</t>
  </si>
  <si>
    <t>2012/13 Medium Term Revenue &amp; Expenditure Framework</t>
  </si>
  <si>
    <t>Budget Year 2012/13</t>
  </si>
  <si>
    <t>Budget Year +1 2013/14</t>
  </si>
  <si>
    <t>Budget Year +2 2014/15</t>
  </si>
  <si>
    <t>Total Revenue - Standard</t>
  </si>
  <si>
    <t>Total Expenditure - Standard</t>
  </si>
  <si>
    <t>NC071 Ubuntu - Table A3 Budgeted Financial Performance (revenue and expenditure by municipal vote)A</t>
  </si>
  <si>
    <t>Forecast 2024/25</t>
  </si>
  <si>
    <t>Forecast 2025/26</t>
  </si>
  <si>
    <t>Forecast 2026/27</t>
  </si>
  <si>
    <t>Vote 11 - [NAME OF VOTE 11]</t>
  </si>
  <si>
    <t>Vote 12 - [NAME OF VOTE 12]</t>
  </si>
  <si>
    <t>Vote 13 - [NAME OF VOTE 13]</t>
  </si>
  <si>
    <t>Vote 14 - [NAME OF VOTE 14]</t>
  </si>
  <si>
    <t>Vote 15 - [NAME OF VOTE 15]</t>
  </si>
  <si>
    <t>NC071 Ubuntu - Table A4 Budgeted Financial Performance (revenue and expenditure)</t>
  </si>
  <si>
    <t>NC071 Ubuntu - Table A5 Budgeted Capital Expenditure by vote, standard classification and funding</t>
  </si>
  <si>
    <t>NC071 Ubuntu - Table A6 Budgeted Financial Position</t>
  </si>
  <si>
    <t>NC071 Ubuntu - Table A7 Budgeted Cash Flows</t>
  </si>
  <si>
    <t>NC071 Ubuntu - Table A9 Asset Management</t>
  </si>
  <si>
    <t>NC071 Ubuntu - Table A10 Basic service delivery measurement</t>
  </si>
  <si>
    <t>NC071 Ubuntu - Supporting Table SA1 Supportinging detail to 'Budgeted Financial Performance'</t>
  </si>
  <si>
    <t>Net Service charges - electricity revenue</t>
  </si>
  <si>
    <t>Net Service charges - water revenue</t>
  </si>
  <si>
    <t>Net Service charges - sanitation revenue</t>
  </si>
  <si>
    <t>Net Service charges - refuse revenue</t>
  </si>
  <si>
    <t>Total Employee related costs</t>
  </si>
  <si>
    <t>Total Contributions recognised - capital</t>
  </si>
  <si>
    <t>Total Depreciation &amp; asset impairment</t>
  </si>
  <si>
    <t>NC071 Ubuntu - Supporting Table SA2 Matrix Financial Performance Budget (revenue source/expenditure type and dept.)</t>
  </si>
  <si>
    <t>NC071 Ubuntu - Supporting Table SA3 Supportinging detail to 'Budgeted Financial Position'</t>
  </si>
  <si>
    <t>Total Call investment deposits</t>
  </si>
  <si>
    <t>Total Consumer debtors</t>
  </si>
  <si>
    <t>Property, plant and equipment (PPE)</t>
  </si>
  <si>
    <t>Total Property, plant and equipment (PPE)</t>
  </si>
  <si>
    <t>Current liabilities - Borrowing</t>
  </si>
  <si>
    <t>Total Current liabilities - Borrowing</t>
  </si>
  <si>
    <t>Total Trade and other payables</t>
  </si>
  <si>
    <t>Non current liabilities - Borrowing</t>
  </si>
  <si>
    <t>Total Non current liabilities - Borrowing</t>
  </si>
  <si>
    <t>Provisions - non-current</t>
  </si>
  <si>
    <t>Total Provisions - non-current</t>
  </si>
  <si>
    <t>Accumulated Surplus/(Deficit) - opening balance</t>
  </si>
  <si>
    <t>1. Must reconcile with Table A4 Budgeted Financial Performance (revenue and expenditure)</t>
  </si>
  <si>
    <t>2. Must reconcile with Table A6 Budgeted Financial Position</t>
  </si>
  <si>
    <t>NC071 Ubuntu - Supporting Table SA4 Reconciliation of IDP strategic objectives and budget (revenue)</t>
  </si>
  <si>
    <t>1. Total revenue must reconcile to Table A4 Budgeted Financial Performance (revenue and expenditure)</t>
  </si>
  <si>
    <t>NC071 Ubuntu - Supporting Table SA5 Reconciliation of IDP strategic objectives and budget (operating expenditure)</t>
  </si>
  <si>
    <t>1. Total expenditure must reconcile to Table A4 Budgeted Financial Performance (revenue and expenditure)</t>
  </si>
  <si>
    <t>NC071 Ubuntu - Supporting Table SA6 Reconciliation of IDP strategic objectives and budget (capital expenditure)</t>
  </si>
  <si>
    <t>NC071 Ubuntu - Supporting Table SA7 Measureable performance objectives</t>
  </si>
  <si>
    <t>NC071 Ubuntu - Entities measureable performance objectives</t>
  </si>
  <si>
    <t>NC071 Ubuntu - Supporting Table SA9 Social, economic and demographic statistics and assumptions</t>
  </si>
  <si>
    <t>NC071 Ubuntu - Supporting Table SA15 Investment particulars by type</t>
  </si>
  <si>
    <t>NC071 Ubuntu - Supporting Table SA16 Investment particulars by maturity</t>
  </si>
  <si>
    <t>NC071 Ubuntu - Supporting Table SA17 Borrowing</t>
  </si>
  <si>
    <t>NC071 Ubuntu - Supporting Table SA18 Transfers and grant receipts</t>
  </si>
  <si>
    <t/>
  </si>
  <si>
    <t>NC071 Ubuntu - Supporting Table SA19 Expenditure on transfers and grant programme</t>
  </si>
  <si>
    <t>NC071 Ubuntu - Supporting Table SA20 Reconciliation of transfers, grant receipts and unspent funds</t>
  </si>
  <si>
    <t>NC071 Ubuntu - Supporting Table SA21 Transfers and grants made by the municipality</t>
  </si>
  <si>
    <t>NC071 Ubuntu - Supporting Table SA22 Summary councillor and staff benefits</t>
  </si>
  <si>
    <t>NC071 Ubuntu - Supporting Table SA23 Salaries, allowances &amp; benefits (political office bearers/councillors/senior managers)</t>
  </si>
  <si>
    <t>Total Councillors</t>
  </si>
  <si>
    <t>Total Senior Managers of the Municipality</t>
  </si>
  <si>
    <t>NC071 Ubuntu - Supporting Table SA25 Budgeted monthly revenue and expenditure</t>
  </si>
  <si>
    <t>NC071 Ubuntu - Supporting Table SA26 Budgeted monthly revenue and expenditure (municipal vote)</t>
  </si>
  <si>
    <t>Expenditure by Vote to be appropriated</t>
  </si>
  <si>
    <t>Surplus/(Deficit) before assoc.</t>
  </si>
  <si>
    <t>NC071 Ubuntu - Supporting Table SA27 Budgeted monthly revenue and expenditure (standard classification)</t>
  </si>
  <si>
    <t>NC071 Ubuntu - Supporting Table SA28 Budgeted monthly capital expenditure (municipal vote)</t>
  </si>
  <si>
    <t>NC071 Ubuntu - Supporting Table SA29 Budgeted monthly capital expenditure (standard classification)</t>
  </si>
  <si>
    <t>NC071 Ubuntu - Supporting Table SA30 Budgeted monthly cash flow</t>
  </si>
  <si>
    <t>Contributions recognised - capital &amp; Contributed assets</t>
  </si>
  <si>
    <t>Other Cash Flows/Payments</t>
  </si>
  <si>
    <t>NC071 Ubuntu - Supporting Table SA34a Capital expenditure on new assets by asset class</t>
  </si>
  <si>
    <t>NC071 Ubuntu - Supporting Table SA34b Capital expenditure on the renewal of existing assets by asset class</t>
  </si>
  <si>
    <t>NC071 Ubuntu - Supporting Table SA34c Repairs and maintenance expenditure by asset class</t>
  </si>
  <si>
    <t>NC071 Ubuntu - Supporting Table SA34d Depreciation by asset class</t>
  </si>
  <si>
    <t>NC071 Ubuntu - Supporting Table SA36 Detailed capital budget</t>
  </si>
  <si>
    <t>Audited Outcome    2010/11</t>
  </si>
  <si>
    <t>Current Year 2011/12        Full Year Forecast</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</si>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</sst>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35">
    <numFmt numFmtId="164" formatCode="&quot;R&quot;\ #,##0;&quot;R&quot;\ \-#,##0"/>
    <numFmt numFmtId="165" formatCode="_ * #,##0_ ;_ * \-#,##0_ ;_ * &quot;-&quot;_ ;_ @_ "/>
    <numFmt numFmtId="166" formatCode="_ &quot;R&quot;\ * #,##0.00_ ;_ &quot;R&quot;\ * \-#,##0.00_ ;_ &quot;R&quot;\ * &quot;-&quot;??_ ;_ @_ "/>
    <numFmt numFmtId="167" formatCode="_ * #,##0.00_ ;_ * \-#,##0.00_ ;_ * &quot;-&quot;??_ ;_ @_ "/>
    <numFmt numFmtId="168" formatCode="_ * #,##0_ ;_ * \-#,##0_ ;_ * &quot;-&quot;??_ ;_ @_ "/>
    <numFmt numFmtId="169" formatCode="_ * #,##0.0_ ;_ * \-#,##0.0_ ;_ * &quot;-&quot;??_ ;_ @_ "/>
    <numFmt numFmtId="170" formatCode="#,###,;[Red]\(#,###,\)"/>
    <numFmt numFmtId="171" formatCode="0.0%"/>
    <numFmt numFmtId="172" formatCode="#,###,;\(#,###,\)"/>
    <numFmt numFmtId="173" formatCode="#,###,,;\(#,###,,\)"/>
    <numFmt numFmtId="174" formatCode="0.0%;[Red]\(0.0%\)"/>
    <numFmt numFmtId="175" formatCode="0.0"/>
    <numFmt numFmtId="176" formatCode="#,##0,;[Red]\(#,##0,\)"/>
    <numFmt numFmtId="177" formatCode="_(* #,##0,,_);_(* \(#,##0,,\);_(* &quot;–&quot;?_);_(@_)"/>
    <numFmt numFmtId="178" formatCode="_(* #,##0,_);_(* \(#,##0,\);_(* &quot;–&quot;?_);_(@_)"/>
    <numFmt numFmtId="179" formatCode="_(* #,##0_);_(* \(#,##0\);_(* &quot;–&quot;?_);_(@_)"/>
    <numFmt numFmtId="180" formatCode="_(* #,##0.0_);_(* \(#,##0.0\);_(* &quot;–&quot;?_);_(@_)"/>
    <numFmt numFmtId="181" formatCode="_(* #,##0.000000_);_(* \(#,##0.000000\);_(* &quot;–&quot;?_);_(@_)"/>
    <numFmt numFmtId="182" formatCode="_(* #,##0.00_);_(* \(#,##0.00\);_(* &quot;–&quot;?_);_(@_)"/>
    <numFmt numFmtId="183" formatCode="_(* #,##0.0%_);_(* \(#,##0.0%\);_(* &quot;–&quot;?_);_(@_)"/>
    <numFmt numFmtId="184" formatCode="[$-1C09]dd\ mmmm\ yyyy"/>
    <numFmt numFmtId="185" formatCode="0000"/>
    <numFmt numFmtId="186" formatCode="#,##0;\-#,##0;&quot;-&quot;"/>
    <numFmt numFmtId="187" formatCode="#,##0.00;\-#,##0.00;&quot;-&quot;"/>
    <numFmt numFmtId="188" formatCode="#,##0%;\-#,##0%;&quot;- &quot;"/>
    <numFmt numFmtId="189" formatCode="#,##0.0%;\-#,##0.0%;&quot;- &quot;"/>
    <numFmt numFmtId="190" formatCode="#,##0.00%;\-#,##0.00%;&quot;- &quot;"/>
    <numFmt numFmtId="191" formatCode="#,##0.0;\-#,##0.0;&quot;-&quot;"/>
    <numFmt numFmtId="192" formatCode="\$#,##0\ ;\(\$#,##0\)"/>
    <numFmt numFmtId="193" formatCode="_ [$€]\ * #,##0.00_ ;_ [$€]\ * \-#,##0.00_ ;_ [$€]\ * &quot;-&quot;??_ ;_ @_ "/>
    <numFmt numFmtId="194" formatCode="[Red]0%;[Red]\(0%\)"/>
    <numFmt numFmtId="195" formatCode="0%;\(0%\)"/>
    <numFmt numFmtId="196" formatCode="\ \ @"/>
    <numFmt numFmtId="197" formatCode="\ \ \ \ @"/>
    <numFmt numFmtId="198" formatCode="_(* #,##0.00_);_(* \(#,##0.00\);_(* &quot;-&quot;??_);_(@_)"/>
  </numFmts>
  <fonts count="59"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8"/>
      <name val="Arial"/>
      <family val="2"/>
    </font>
    <font>
      <b/>
      <sz val="8"/>
      <name val="Arial"/>
      <family val="2"/>
    </font>
    <font>
      <u/>
      <sz val="10"/>
      <color indexed="12"/>
      <name val="Arial"/>
      <family val="2"/>
    </font>
    <font>
      <sz val="10"/>
      <name val="Arial Narrow"/>
      <family val="2"/>
    </font>
    <font>
      <u/>
      <sz val="8"/>
      <name val="Arial"/>
      <family val="2"/>
    </font>
    <font>
      <b/>
      <sz val="10"/>
      <name val="Arial Narrow"/>
      <family val="2"/>
    </font>
    <font>
      <b/>
      <i/>
      <sz val="8"/>
      <name val="Arial"/>
      <family val="2"/>
    </font>
    <font>
      <i/>
      <sz val="8"/>
      <name val="Arial"/>
      <family val="2"/>
    </font>
    <font>
      <sz val="8"/>
      <name val="Arial Narrow"/>
      <family val="2"/>
    </font>
    <font>
      <b/>
      <sz val="8"/>
      <color indexed="9"/>
      <name val="Arial"/>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b/>
      <i/>
      <u/>
      <sz val="8"/>
      <name val="Arial Narrow"/>
      <family val="2"/>
    </font>
    <font>
      <b/>
      <sz val="14"/>
      <color indexed="10"/>
      <name val="Arial"/>
      <family val="2"/>
    </font>
    <font>
      <b/>
      <sz val="10"/>
      <color indexed="10"/>
      <name val="Arial"/>
      <family val="2"/>
    </font>
    <font>
      <sz val="10"/>
      <name val="Arial"/>
      <family val="2"/>
    </font>
    <font>
      <sz val="10"/>
      <name val="Arial Narrow"/>
      <family val="2"/>
    </font>
    <font>
      <sz val="8"/>
      <name val="Arial Narrow"/>
      <family val="2"/>
    </font>
    <font>
      <sz val="10"/>
      <color indexed="9"/>
      <name val="Arial"/>
      <family val="2"/>
    </font>
    <font>
      <b/>
      <sz val="11"/>
      <name val="Arial Narrow"/>
      <family val="2"/>
    </font>
    <font>
      <sz val="10"/>
      <name val="Arial"/>
      <family val="2"/>
    </font>
    <font>
      <sz val="10"/>
      <color indexed="8"/>
      <name val="Arial"/>
      <family val="2"/>
    </font>
    <font>
      <b/>
      <u/>
      <sz val="9"/>
      <name val="Arial Narrow"/>
      <family val="2"/>
    </font>
    <font>
      <sz val="9"/>
      <name val="Arial Narrow"/>
      <family val="2"/>
    </font>
    <font>
      <b/>
      <sz val="9"/>
      <name val="Arial Narrow"/>
      <family val="2"/>
    </font>
    <font>
      <sz val="9"/>
      <name val="Cambria"/>
      <family val="1"/>
    </font>
    <font>
      <b/>
      <sz val="9"/>
      <color indexed="10"/>
      <name val="Arial Narrow"/>
      <family val="2"/>
    </font>
    <font>
      <b/>
      <sz val="9"/>
      <color indexed="10"/>
      <name val="Wingdings"/>
      <charset val="2"/>
    </font>
    <font>
      <b/>
      <i/>
      <sz val="10"/>
      <name val="Arial"/>
      <family val="2"/>
    </font>
    <font>
      <u/>
      <sz val="10"/>
      <color indexed="12"/>
      <name val="Arial Narrow"/>
      <family val="2"/>
    </font>
    <font>
      <i/>
      <sz val="12"/>
      <name val="Arial Narrow"/>
      <family val="2"/>
    </font>
    <font>
      <b/>
      <sz val="9"/>
      <color rgb="FFFF0000"/>
      <name val="Arial Narrow"/>
      <family val="2"/>
    </font>
    <font>
      <sz val="9"/>
      <color rgb="FFFF0000"/>
      <name val="Arial Narrow"/>
      <family val="2"/>
    </font>
    <font>
      <sz val="9"/>
      <color rgb="FFFF0000"/>
      <name val="Wingdings"/>
      <charset val="2"/>
    </font>
    <font>
      <sz val="8"/>
      <color rgb="FFFF0000"/>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sz val="11"/>
      <color indexed="8"/>
      <name val="Calibri"/>
      <family val="2"/>
    </font>
    <font>
      <sz val="10"/>
      <color indexed="12"/>
      <name val="Arial"/>
      <family val="2"/>
    </font>
    <font>
      <b/>
      <sz val="12"/>
      <name val="Arial"/>
      <family val="2"/>
    </font>
    <font>
      <b/>
      <sz val="18"/>
      <name val="Arial"/>
      <family val="2"/>
    </font>
    <font>
      <sz val="10"/>
      <color indexed="14"/>
      <name val="Arial"/>
      <family val="2"/>
    </font>
    <font>
      <sz val="10"/>
      <name val="Verdana"/>
      <family val="2"/>
    </font>
    <font>
      <sz val="12"/>
      <name val="Arial"/>
      <family val="2"/>
    </font>
    <font>
      <sz val="10"/>
      <color indexed="10"/>
      <name val="Arial"/>
      <family val="2"/>
    </font>
    <font>
      <sz val="10"/>
      <name val="Courier"/>
      <family val="3"/>
    </font>
    <font>
      <sz val="10"/>
      <color rgb="FF000000"/>
      <name val="Arial"/>
      <family val="2"/>
    </font>
  </fonts>
  <fills count="18">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7"/>
        <bgColor indexed="64"/>
      </patternFill>
    </fill>
    <fill>
      <patternFill patternType="solid">
        <fgColor indexed="42"/>
        <bgColor indexed="64"/>
      </patternFill>
    </fill>
    <fill>
      <patternFill patternType="solid">
        <fgColor indexed="13"/>
        <bgColor indexed="64"/>
      </patternFill>
    </fill>
    <fill>
      <patternFill patternType="solid">
        <fgColor indexed="48"/>
        <bgColor indexed="64"/>
      </patternFill>
    </fill>
    <fill>
      <patternFill patternType="solid">
        <fgColor indexed="57"/>
        <bgColor indexed="64"/>
      </patternFill>
    </fill>
    <fill>
      <patternFill patternType="solid">
        <fgColor indexed="15"/>
        <bgColor indexed="64"/>
      </patternFill>
    </fill>
    <fill>
      <patternFill patternType="solid">
        <fgColor indexed="49"/>
        <bgColor indexed="64"/>
      </patternFill>
    </fill>
    <fill>
      <patternFill patternType="solid">
        <fgColor indexed="10"/>
        <bgColor indexed="64"/>
      </patternFill>
    </fill>
    <fill>
      <patternFill patternType="solid">
        <fgColor indexed="44"/>
        <bgColor indexed="64"/>
      </patternFill>
    </fill>
    <fill>
      <patternFill patternType="solid">
        <fgColor indexed="40"/>
        <bgColor indexed="64"/>
      </patternFill>
    </fill>
    <fill>
      <patternFill patternType="solid">
        <fgColor rgb="FFFFFF99"/>
        <bgColor indexed="64"/>
      </patternFill>
    </fill>
    <fill>
      <patternFill patternType="solid">
        <fgColor theme="0" tint="-0.14999847407452621"/>
        <bgColor indexed="64"/>
      </patternFill>
    </fill>
    <fill>
      <patternFill patternType="solid">
        <fgColor rgb="FF002060"/>
        <bgColor indexed="64"/>
      </patternFill>
    </fill>
    <fill>
      <patternFill patternType="solid">
        <fgColor indexed="26"/>
        <bgColor indexed="64"/>
      </patternFill>
    </fill>
  </fills>
  <borders count="13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diagonal/>
    </border>
    <border>
      <left style="thin">
        <color indexed="64"/>
      </left>
      <right style="medium">
        <color indexed="64"/>
      </right>
      <top style="dotted">
        <color indexed="64"/>
      </top>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bottom style="dotted">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hair">
        <color indexed="64"/>
      </top>
      <bottom/>
      <diagonal/>
    </border>
    <border>
      <left style="thin">
        <color indexed="64"/>
      </left>
      <right style="hair">
        <color indexed="64"/>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top style="thin">
        <color indexed="64"/>
      </top>
      <bottom style="double">
        <color indexed="64"/>
      </bottom>
      <diagonal/>
    </border>
    <border>
      <left style="hair">
        <color indexed="64"/>
      </left>
      <right/>
      <top style="thin">
        <color indexed="64"/>
      </top>
      <bottom/>
      <diagonal/>
    </border>
    <border>
      <left style="hair">
        <color indexed="64"/>
      </left>
      <right/>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thin">
        <color indexed="64"/>
      </right>
      <top/>
      <bottom style="medium">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right style="hair">
        <color indexed="64"/>
      </right>
      <top/>
      <bottom style="thin">
        <color indexed="64"/>
      </bottom>
      <diagonal/>
    </border>
    <border>
      <left/>
      <right/>
      <top style="dotted">
        <color indexed="64"/>
      </top>
      <bottom/>
      <diagonal/>
    </border>
    <border>
      <left/>
      <right/>
      <top/>
      <bottom style="dotted">
        <color indexed="64"/>
      </bottom>
      <diagonal/>
    </border>
    <border>
      <left/>
      <right style="medium">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thin">
        <color indexed="64"/>
      </right>
      <top style="double">
        <color indexed="64"/>
      </top>
      <bottom/>
      <diagonal/>
    </border>
    <border>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s>
  <cellStyleXfs count="118">
    <xf numFmtId="0" fontId="0" fillId="0" borderId="0"/>
    <xf numFmtId="167" fontId="3" fillId="0" borderId="0" applyFont="0" applyFill="0" applyBorder="0" applyAlignment="0" applyProtection="0"/>
    <xf numFmtId="0" fontId="8" fillId="0" borderId="0" applyNumberFormat="0" applyFill="0" applyBorder="0" applyAlignment="0" applyProtection="0">
      <alignment vertical="top"/>
      <protection locked="0"/>
    </xf>
    <xf numFmtId="0" fontId="5" fillId="0" borderId="0" applyNumberFormat="0" applyFont="0" applyFill="0" applyBorder="0" applyAlignment="0" applyProtection="0">
      <alignment vertical="top"/>
      <protection locked="0"/>
    </xf>
    <xf numFmtId="0" fontId="5" fillId="0" borderId="0" applyNumberFormat="0" applyFont="0" applyFill="0" applyBorder="0" applyAlignment="0" applyProtection="0">
      <alignment vertical="top"/>
      <protection locked="0"/>
    </xf>
    <xf numFmtId="0" fontId="26" fillId="0" borderId="0"/>
    <xf numFmtId="9" fontId="3" fillId="0" borderId="0" applyFont="0" applyFill="0" applyBorder="0" applyAlignment="0" applyProtection="0"/>
    <xf numFmtId="9" fontId="30" fillId="0" borderId="0" applyFont="0" applyFill="0" applyBorder="0" applyAlignment="0" applyProtection="0"/>
    <xf numFmtId="0" fontId="2" fillId="0" borderId="0"/>
    <xf numFmtId="167" fontId="2" fillId="0" borderId="0" applyFont="0" applyFill="0" applyBorder="0" applyAlignment="0" applyProtection="0"/>
    <xf numFmtId="186" fontId="31" fillId="0" borderId="0" applyFill="0" applyBorder="0" applyAlignment="0"/>
    <xf numFmtId="187" fontId="31" fillId="0" borderId="0" applyFill="0" applyBorder="0" applyAlignment="0"/>
    <xf numFmtId="188" fontId="31" fillId="0" borderId="0" applyFill="0" applyBorder="0" applyAlignment="0"/>
    <xf numFmtId="189" fontId="31" fillId="0" borderId="0" applyFill="0" applyBorder="0" applyAlignment="0"/>
    <xf numFmtId="190" fontId="31" fillId="0" borderId="0" applyFill="0" applyBorder="0" applyAlignment="0"/>
    <xf numFmtId="186" fontId="31" fillId="0" borderId="0" applyFill="0" applyBorder="0" applyAlignment="0"/>
    <xf numFmtId="191" fontId="31" fillId="0" borderId="0" applyFill="0" applyBorder="0" applyAlignment="0"/>
    <xf numFmtId="187" fontId="31" fillId="0" borderId="0" applyFill="0" applyBorder="0" applyAlignment="0"/>
    <xf numFmtId="165" fontId="25" fillId="0" borderId="0" applyFont="0" applyFill="0" applyBorder="0" applyAlignment="0" applyProtection="0"/>
    <xf numFmtId="186" fontId="25" fillId="0" borderId="0" applyFont="0" applyFill="0" applyBorder="0" applyAlignment="0" applyProtection="0"/>
    <xf numFmtId="167" fontId="25"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49"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167" fontId="25" fillId="0" borderId="0" applyFont="0" applyFill="0" applyBorder="0" applyAlignment="0" applyProtection="0"/>
    <xf numFmtId="3" fontId="25" fillId="0" borderId="0" applyFont="0" applyFill="0" applyBorder="0" applyAlignment="0" applyProtection="0"/>
    <xf numFmtId="187" fontId="25" fillId="0" borderId="0" applyFont="0" applyFill="0" applyBorder="0" applyAlignment="0" applyProtection="0"/>
    <xf numFmtId="166" fontId="25" fillId="0" borderId="0" applyFont="0" applyFill="0" applyBorder="0" applyAlignment="0" applyProtection="0"/>
    <xf numFmtId="166" fontId="25" fillId="0" borderId="0" applyFont="0" applyFill="0" applyBorder="0" applyAlignment="0" applyProtection="0"/>
    <xf numFmtId="192" fontId="25" fillId="0" borderId="0" applyFont="0" applyFill="0" applyBorder="0" applyAlignment="0" applyProtection="0"/>
    <xf numFmtId="164" fontId="25" fillId="0" borderId="0" applyFont="0" applyFill="0" applyBorder="0" applyAlignment="0" applyProtection="0"/>
    <xf numFmtId="0" fontId="25" fillId="0" borderId="0" applyFont="0" applyFill="0" applyBorder="0" applyAlignment="0" applyProtection="0"/>
    <xf numFmtId="14" fontId="25" fillId="0" borderId="0" applyFont="0" applyFill="0" applyBorder="0" applyAlignment="0" applyProtection="0"/>
    <xf numFmtId="14" fontId="31" fillId="0" borderId="0" applyFill="0" applyBorder="0" applyAlignment="0"/>
    <xf numFmtId="186" fontId="50" fillId="0" borderId="0" applyFill="0" applyBorder="0" applyAlignment="0"/>
    <xf numFmtId="187" fontId="50" fillId="0" borderId="0" applyFill="0" applyBorder="0" applyAlignment="0"/>
    <xf numFmtId="186" fontId="50" fillId="0" borderId="0" applyFill="0" applyBorder="0" applyAlignment="0"/>
    <xf numFmtId="191" fontId="50" fillId="0" borderId="0" applyFill="0" applyBorder="0" applyAlignment="0"/>
    <xf numFmtId="187" fontId="50" fillId="0" borderId="0" applyFill="0" applyBorder="0" applyAlignment="0"/>
    <xf numFmtId="193" fontId="25" fillId="0" borderId="0" applyFont="0" applyFill="0" applyBorder="0" applyAlignment="0" applyProtection="0"/>
    <xf numFmtId="2" fontId="25" fillId="0" borderId="0" applyFont="0" applyFill="0" applyBorder="0" applyAlignment="0" applyProtection="0"/>
    <xf numFmtId="38" fontId="4" fillId="3" borderId="0" applyNumberFormat="0" applyBorder="0" applyAlignment="0" applyProtection="0"/>
    <xf numFmtId="0" fontId="51" fillId="0" borderId="130" applyNumberFormat="0" applyAlignment="0" applyProtection="0">
      <alignment horizontal="left" vertical="center"/>
    </xf>
    <xf numFmtId="0" fontId="51" fillId="0" borderId="35">
      <alignment horizontal="left" vertical="center"/>
    </xf>
    <xf numFmtId="0" fontId="52" fillId="0" borderId="0" applyFont="0" applyFill="0" applyBorder="0" applyAlignment="0" applyProtection="0"/>
    <xf numFmtId="0" fontId="51" fillId="0" borderId="0" applyFont="0" applyFill="0" applyBorder="0" applyAlignment="0" applyProtection="0"/>
    <xf numFmtId="10" fontId="4" fillId="17" borderId="2" applyNumberFormat="0" applyBorder="0" applyAlignment="0" applyProtection="0"/>
    <xf numFmtId="186" fontId="53" fillId="0" borderId="0" applyFill="0" applyBorder="0" applyAlignment="0"/>
    <xf numFmtId="187" fontId="53" fillId="0" borderId="0" applyFill="0" applyBorder="0" applyAlignment="0"/>
    <xf numFmtId="186" fontId="53" fillId="0" borderId="0" applyFill="0" applyBorder="0" applyAlignment="0"/>
    <xf numFmtId="191" fontId="53" fillId="0" borderId="0" applyFill="0" applyBorder="0" applyAlignment="0"/>
    <xf numFmtId="187" fontId="53" fillId="0" borderId="0" applyFill="0" applyBorder="0" applyAlignment="0"/>
    <xf numFmtId="194" fontId="14" fillId="0" borderId="0"/>
    <xf numFmtId="0" fontId="54" fillId="0" borderId="0"/>
    <xf numFmtId="0" fontId="25" fillId="0" borderId="0"/>
    <xf numFmtId="0" fontId="4" fillId="0" borderId="0"/>
    <xf numFmtId="0" fontId="2" fillId="0" borderId="0"/>
    <xf numFmtId="0" fontId="2" fillId="0" borderId="0"/>
    <xf numFmtId="0" fontId="2" fillId="0" borderId="0"/>
    <xf numFmtId="37" fontId="55" fillId="0" borderId="0"/>
    <xf numFmtId="0" fontId="25" fillId="0" borderId="0"/>
    <xf numFmtId="0" fontId="25" fillId="0" borderId="0"/>
    <xf numFmtId="0" fontId="25" fillId="0" borderId="0"/>
    <xf numFmtId="0" fontId="2" fillId="0" borderId="0"/>
    <xf numFmtId="0" fontId="4" fillId="0" borderId="0"/>
    <xf numFmtId="37" fontId="55" fillId="0" borderId="0"/>
    <xf numFmtId="0" fontId="4" fillId="0" borderId="0"/>
    <xf numFmtId="0" fontId="4" fillId="0" borderId="0"/>
    <xf numFmtId="0" fontId="4" fillId="0" borderId="0"/>
    <xf numFmtId="0" fontId="4" fillId="0" borderId="0"/>
    <xf numFmtId="37" fontId="55" fillId="0" borderId="0"/>
    <xf numFmtId="0" fontId="4" fillId="0" borderId="0"/>
    <xf numFmtId="0" fontId="4" fillId="0" borderId="0"/>
    <xf numFmtId="0" fontId="25" fillId="0" borderId="0"/>
    <xf numFmtId="0" fontId="25" fillId="0" borderId="0"/>
    <xf numFmtId="190" fontId="25" fillId="0" borderId="0" applyFont="0" applyFill="0" applyBorder="0" applyAlignment="0" applyProtection="0"/>
    <xf numFmtId="195" fontId="25" fillId="0" borderId="0" applyFont="0" applyFill="0" applyBorder="0" applyAlignment="0" applyProtection="0"/>
    <xf numFmtId="10"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186" fontId="56" fillId="0" borderId="0" applyFill="0" applyBorder="0" applyAlignment="0"/>
    <xf numFmtId="187" fontId="56" fillId="0" borderId="0" applyFill="0" applyBorder="0" applyAlignment="0"/>
    <xf numFmtId="186" fontId="56" fillId="0" borderId="0" applyFill="0" applyBorder="0" applyAlignment="0"/>
    <xf numFmtId="191" fontId="56" fillId="0" borderId="0" applyFill="0" applyBorder="0" applyAlignment="0"/>
    <xf numFmtId="187" fontId="56" fillId="0" borderId="0" applyFill="0" applyBorder="0" applyAlignment="0"/>
    <xf numFmtId="0" fontId="57" fillId="0" borderId="0"/>
    <xf numFmtId="49" fontId="31" fillId="0" borderId="0" applyFill="0" applyBorder="0" applyAlignment="0"/>
    <xf numFmtId="196" fontId="31" fillId="0" borderId="0" applyFill="0" applyBorder="0" applyAlignment="0"/>
    <xf numFmtId="197" fontId="31" fillId="0" borderId="0" applyFill="0" applyBorder="0" applyAlignment="0"/>
    <xf numFmtId="0" fontId="25" fillId="0" borderId="0" applyFont="0" applyFill="0" applyBorder="0" applyAlignment="0" applyProtection="0"/>
    <xf numFmtId="0" fontId="1" fillId="0" borderId="0"/>
    <xf numFmtId="167" fontId="1" fillId="0" borderId="0" applyFont="0" applyFill="0" applyBorder="0" applyAlignment="0" applyProtection="0"/>
    <xf numFmtId="0" fontId="3" fillId="0" borderId="0"/>
    <xf numFmtId="0" fontId="1"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67" fontId="3" fillId="0" borderId="0" applyFont="0" applyFill="0" applyBorder="0" applyAlignment="0" applyProtection="0"/>
    <xf numFmtId="0" fontId="3" fillId="0" borderId="0"/>
  </cellStyleXfs>
  <cellXfs count="2795">
    <xf numFmtId="0" fontId="0" fillId="0" borderId="0" xfId="0"/>
    <xf numFmtId="0" fontId="6" fillId="0" borderId="0" xfId="0" applyFont="1"/>
    <xf numFmtId="0" fontId="4" fillId="0" borderId="0" xfId="0" applyFont="1"/>
    <xf numFmtId="0" fontId="7" fillId="0" borderId="0" xfId="0" applyFont="1"/>
    <xf numFmtId="0" fontId="4" fillId="0" borderId="1" xfId="0" applyFont="1" applyBorder="1" applyAlignment="1">
      <alignment horizontal="center"/>
    </xf>
    <xf numFmtId="0" fontId="4" fillId="0" borderId="0" xfId="0" applyFont="1" applyBorder="1" applyAlignment="1">
      <alignment horizontal="center"/>
    </xf>
    <xf numFmtId="0" fontId="4" fillId="0" borderId="0" xfId="0" applyFont="1" applyBorder="1"/>
    <xf numFmtId="9" fontId="7" fillId="0" borderId="2" xfId="6" applyFont="1" applyBorder="1" applyAlignment="1">
      <alignment horizontal="center"/>
    </xf>
    <xf numFmtId="0" fontId="7" fillId="0" borderId="2" xfId="0" applyFont="1" applyBorder="1"/>
    <xf numFmtId="0" fontId="4" fillId="0" borderId="0" xfId="0" applyFont="1" applyAlignment="1">
      <alignment horizontal="center"/>
    </xf>
    <xf numFmtId="0" fontId="4" fillId="0" borderId="3" xfId="0" applyFont="1" applyBorder="1"/>
    <xf numFmtId="0" fontId="4" fillId="0" borderId="4" xfId="0" applyFont="1" applyBorder="1"/>
    <xf numFmtId="0" fontId="7" fillId="0" borderId="1" xfId="0" applyFont="1" applyBorder="1" applyAlignment="1">
      <alignment horizontal="center"/>
    </xf>
    <xf numFmtId="0" fontId="4" fillId="0" borderId="1" xfId="0" applyFont="1" applyBorder="1"/>
    <xf numFmtId="0" fontId="4" fillId="0" borderId="5" xfId="0" applyFont="1" applyBorder="1"/>
    <xf numFmtId="0" fontId="7" fillId="0" borderId="1" xfId="0" applyFont="1" applyBorder="1"/>
    <xf numFmtId="0" fontId="4" fillId="0" borderId="6" xfId="0" applyFont="1" applyBorder="1"/>
    <xf numFmtId="0" fontId="4" fillId="0" borderId="7" xfId="0" applyFont="1" applyBorder="1"/>
    <xf numFmtId="0" fontId="4" fillId="0" borderId="8" xfId="0" applyFont="1" applyBorder="1"/>
    <xf numFmtId="0" fontId="4" fillId="0" borderId="9" xfId="0" applyFont="1" applyBorder="1"/>
    <xf numFmtId="0" fontId="4" fillId="0" borderId="10" xfId="0" applyFont="1" applyBorder="1"/>
    <xf numFmtId="0" fontId="4" fillId="0" borderId="11" xfId="0" applyFont="1" applyBorder="1" applyAlignment="1">
      <alignment horizontal="center"/>
    </xf>
    <xf numFmtId="0" fontId="4" fillId="0" borderId="5" xfId="0" applyFont="1" applyBorder="1" applyAlignment="1">
      <alignment horizontal="center"/>
    </xf>
    <xf numFmtId="0" fontId="4" fillId="0" borderId="1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7" fillId="2" borderId="1" xfId="0" applyFont="1" applyFill="1" applyBorder="1" applyAlignment="1">
      <alignment horizontal="center" vertical="top" wrapText="1"/>
    </xf>
    <xf numFmtId="0" fontId="7" fillId="2" borderId="13" xfId="0" applyFont="1" applyFill="1" applyBorder="1" applyAlignment="1">
      <alignment horizontal="center" vertical="top" wrapText="1"/>
    </xf>
    <xf numFmtId="0" fontId="7" fillId="2" borderId="14" xfId="0" applyFont="1" applyFill="1" applyBorder="1" applyAlignment="1">
      <alignment horizontal="center" vertical="top" wrapText="1"/>
    </xf>
    <xf numFmtId="0" fontId="7" fillId="2" borderId="15"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16" xfId="0" applyFont="1" applyFill="1" applyBorder="1" applyAlignment="1">
      <alignment horizontal="center" vertical="top" wrapText="1"/>
    </xf>
    <xf numFmtId="0" fontId="6" fillId="2" borderId="5"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0" borderId="1" xfId="0" applyFont="1" applyBorder="1" applyAlignment="1">
      <alignment horizontal="left"/>
    </xf>
    <xf numFmtId="0" fontId="7" fillId="0" borderId="5" xfId="0" applyFont="1" applyBorder="1" applyAlignment="1">
      <alignment horizontal="center"/>
    </xf>
    <xf numFmtId="0" fontId="7" fillId="2" borderId="0" xfId="0" applyFont="1" applyFill="1" applyBorder="1" applyAlignment="1">
      <alignment horizontal="center" vertical="center" wrapText="1"/>
    </xf>
    <xf numFmtId="0" fontId="7" fillId="2" borderId="17" xfId="0" applyFont="1" applyFill="1" applyBorder="1" applyAlignment="1">
      <alignment horizontal="center"/>
    </xf>
    <xf numFmtId="0" fontId="4" fillId="3" borderId="12" xfId="0" applyFont="1" applyFill="1" applyBorder="1" applyAlignment="1">
      <alignment horizontal="left"/>
    </xf>
    <xf numFmtId="0" fontId="4" fillId="3" borderId="6" xfId="0" applyFont="1" applyFill="1" applyBorder="1"/>
    <xf numFmtId="0" fontId="4" fillId="3" borderId="7" xfId="0" applyFont="1" applyFill="1" applyBorder="1"/>
    <xf numFmtId="0" fontId="4" fillId="3" borderId="3" xfId="0" applyFont="1" applyFill="1" applyBorder="1" applyAlignment="1">
      <alignment horizontal="left"/>
    </xf>
    <xf numFmtId="0" fontId="4" fillId="3" borderId="0" xfId="0" applyFont="1" applyFill="1" applyBorder="1"/>
    <xf numFmtId="0" fontId="4" fillId="3" borderId="8" xfId="0" applyFont="1" applyFill="1" applyBorder="1"/>
    <xf numFmtId="0" fontId="7" fillId="4" borderId="2" xfId="0" applyFont="1" applyFill="1" applyBorder="1" applyAlignment="1">
      <alignment horizontal="center"/>
    </xf>
    <xf numFmtId="0" fontId="7" fillId="5" borderId="2" xfId="0" applyFont="1" applyFill="1" applyBorder="1" applyAlignment="1">
      <alignment horizontal="center"/>
    </xf>
    <xf numFmtId="0" fontId="4" fillId="3" borderId="6" xfId="0" applyFont="1" applyFill="1" applyBorder="1" applyAlignment="1">
      <alignment horizontal="center"/>
    </xf>
    <xf numFmtId="0" fontId="4" fillId="3" borderId="0" xfId="0" applyFont="1" applyFill="1" applyBorder="1" applyAlignment="1">
      <alignment horizontal="center"/>
    </xf>
    <xf numFmtId="0" fontId="7" fillId="0" borderId="0" xfId="0" applyFont="1" applyAlignment="1">
      <alignment horizontal="right"/>
    </xf>
    <xf numFmtId="9" fontId="4" fillId="0" borderId="1" xfId="6" applyFont="1" applyBorder="1" applyAlignment="1">
      <alignment horizontal="center"/>
    </xf>
    <xf numFmtId="9" fontId="4" fillId="0" borderId="5" xfId="6" applyFont="1" applyBorder="1" applyAlignment="1">
      <alignment horizontal="center"/>
    </xf>
    <xf numFmtId="0" fontId="4" fillId="0" borderId="12" xfId="0" applyFont="1" applyBorder="1"/>
    <xf numFmtId="9" fontId="4" fillId="0" borderId="11" xfId="6" applyFont="1" applyBorder="1" applyAlignment="1">
      <alignment horizontal="center"/>
    </xf>
    <xf numFmtId="171" fontId="4" fillId="0" borderId="1" xfId="6" applyNumberFormat="1" applyFont="1" applyBorder="1" applyAlignment="1">
      <alignment horizontal="center"/>
    </xf>
    <xf numFmtId="171" fontId="4" fillId="0" borderId="5" xfId="6" applyNumberFormat="1" applyFont="1" applyBorder="1" applyAlignment="1">
      <alignment horizontal="center"/>
    </xf>
    <xf numFmtId="10" fontId="4" fillId="0" borderId="1" xfId="6" applyNumberFormat="1" applyFont="1" applyBorder="1" applyAlignment="1">
      <alignment horizontal="center"/>
    </xf>
    <xf numFmtId="9" fontId="7" fillId="0" borderId="2" xfId="0" applyNumberFormat="1" applyFont="1" applyBorder="1" applyAlignment="1">
      <alignment horizontal="center"/>
    </xf>
    <xf numFmtId="167" fontId="4" fillId="0" borderId="1" xfId="1" applyFont="1" applyBorder="1" applyAlignment="1">
      <alignment horizontal="center"/>
    </xf>
    <xf numFmtId="0" fontId="7" fillId="2" borderId="1" xfId="0" applyFont="1" applyFill="1" applyBorder="1" applyAlignment="1">
      <alignment horizontal="center" vertical="center"/>
    </xf>
    <xf numFmtId="1" fontId="7" fillId="0" borderId="2" xfId="0" applyNumberFormat="1" applyFont="1" applyBorder="1" applyAlignment="1">
      <alignment horizontal="center"/>
    </xf>
    <xf numFmtId="167" fontId="7" fillId="0" borderId="1" xfId="0" applyNumberFormat="1" applyFont="1" applyBorder="1" applyAlignment="1">
      <alignment horizontal="center"/>
    </xf>
    <xf numFmtId="2" fontId="4" fillId="0" borderId="1" xfId="0" applyNumberFormat="1" applyFont="1" applyBorder="1" applyAlignment="1">
      <alignment horizontal="center"/>
    </xf>
    <xf numFmtId="2" fontId="4" fillId="0" borderId="5" xfId="0" applyNumberFormat="1" applyFont="1" applyBorder="1" applyAlignment="1">
      <alignment horizontal="center"/>
    </xf>
    <xf numFmtId="2" fontId="4" fillId="0" borderId="11" xfId="0" applyNumberFormat="1" applyFont="1" applyBorder="1" applyAlignment="1">
      <alignment horizontal="center"/>
    </xf>
    <xf numFmtId="9" fontId="7" fillId="0" borderId="2" xfId="6" applyNumberFormat="1" applyFont="1" applyBorder="1" applyAlignment="1">
      <alignment horizontal="center"/>
    </xf>
    <xf numFmtId="0" fontId="4" fillId="0" borderId="2" xfId="0" applyFont="1" applyBorder="1"/>
    <xf numFmtId="0" fontId="7" fillId="0" borderId="1" xfId="0" applyFont="1" applyBorder="1" applyAlignment="1">
      <alignment horizontal="left" indent="1"/>
    </xf>
    <xf numFmtId="0" fontId="4" fillId="0" borderId="1" xfId="0" applyFont="1" applyBorder="1" applyAlignment="1">
      <alignment horizontal="left" indent="2"/>
    </xf>
    <xf numFmtId="0" fontId="4" fillId="0" borderId="1" xfId="0" applyFont="1" applyBorder="1" applyAlignment="1">
      <alignment horizontal="left" indent="3"/>
    </xf>
    <xf numFmtId="176" fontId="4" fillId="0" borderId="11" xfId="0" applyNumberFormat="1" applyFont="1" applyBorder="1"/>
    <xf numFmtId="176" fontId="4" fillId="0" borderId="12" xfId="0" applyNumberFormat="1" applyFont="1" applyBorder="1"/>
    <xf numFmtId="176" fontId="4" fillId="0" borderId="18" xfId="0" applyNumberFormat="1" applyFont="1" applyBorder="1"/>
    <xf numFmtId="176" fontId="4" fillId="0" borderId="19" xfId="0" applyNumberFormat="1" applyFont="1" applyBorder="1"/>
    <xf numFmtId="176" fontId="4" fillId="0" borderId="1" xfId="0" applyNumberFormat="1" applyFont="1" applyBorder="1"/>
    <xf numFmtId="176" fontId="4" fillId="0" borderId="3" xfId="0" applyNumberFormat="1" applyFont="1" applyBorder="1"/>
    <xf numFmtId="176" fontId="4" fillId="0" borderId="13" xfId="0" applyNumberFormat="1" applyFont="1" applyBorder="1"/>
    <xf numFmtId="176" fontId="4" fillId="0" borderId="14" xfId="0" applyNumberFormat="1" applyFont="1" applyBorder="1"/>
    <xf numFmtId="176" fontId="7" fillId="0" borderId="1" xfId="0" applyNumberFormat="1" applyFont="1" applyBorder="1"/>
    <xf numFmtId="176" fontId="7" fillId="0" borderId="3" xfId="0" applyNumberFormat="1" applyFont="1" applyBorder="1"/>
    <xf numFmtId="176" fontId="7" fillId="0" borderId="13" xfId="0" applyNumberFormat="1" applyFont="1" applyBorder="1"/>
    <xf numFmtId="176" fontId="7" fillId="0" borderId="14" xfId="0" applyNumberFormat="1" applyFont="1" applyBorder="1"/>
    <xf numFmtId="176" fontId="4" fillId="0" borderId="20" xfId="0" applyNumberFormat="1" applyFont="1" applyBorder="1"/>
    <xf numFmtId="176" fontId="4" fillId="0" borderId="21" xfId="0" applyNumberFormat="1" applyFont="1" applyBorder="1"/>
    <xf numFmtId="176" fontId="4" fillId="0" borderId="22" xfId="0" applyNumberFormat="1" applyFont="1" applyBorder="1"/>
    <xf numFmtId="176" fontId="4" fillId="0" borderId="23" xfId="0" applyNumberFormat="1" applyFont="1" applyBorder="1"/>
    <xf numFmtId="176" fontId="4" fillId="0" borderId="24" xfId="0" applyNumberFormat="1" applyFont="1" applyBorder="1"/>
    <xf numFmtId="176" fontId="4" fillId="0" borderId="25" xfId="0" applyNumberFormat="1" applyFont="1" applyBorder="1"/>
    <xf numFmtId="176" fontId="4" fillId="0" borderId="26" xfId="0" applyNumberFormat="1" applyFont="1" applyBorder="1"/>
    <xf numFmtId="176" fontId="4" fillId="0" borderId="27" xfId="0" applyNumberFormat="1" applyFont="1" applyBorder="1"/>
    <xf numFmtId="176" fontId="7" fillId="0" borderId="2" xfId="0" applyNumberFormat="1" applyFont="1" applyBorder="1"/>
    <xf numFmtId="176" fontId="7" fillId="0" borderId="17" xfId="0" applyNumberFormat="1" applyFont="1" applyBorder="1"/>
    <xf numFmtId="176" fontId="7" fillId="0" borderId="28" xfId="0" applyNumberFormat="1" applyFont="1" applyBorder="1"/>
    <xf numFmtId="176" fontId="7" fillId="0" borderId="29" xfId="0" applyNumberFormat="1" applyFont="1" applyBorder="1"/>
    <xf numFmtId="176" fontId="4" fillId="0" borderId="5" xfId="0" applyNumberFormat="1" applyFont="1" applyBorder="1"/>
    <xf numFmtId="0" fontId="6" fillId="0" borderId="1" xfId="0" applyFont="1" applyBorder="1" applyAlignment="1">
      <alignment horizontal="left" indent="2"/>
    </xf>
    <xf numFmtId="0" fontId="6" fillId="0" borderId="1" xfId="0" applyFont="1" applyBorder="1" applyAlignment="1">
      <alignment horizontal="left" indent="3"/>
    </xf>
    <xf numFmtId="0" fontId="7" fillId="0" borderId="1" xfId="0" applyFont="1" applyBorder="1" applyAlignment="1">
      <alignment horizontal="left" indent="2"/>
    </xf>
    <xf numFmtId="176" fontId="4" fillId="0" borderId="30" xfId="0" applyNumberFormat="1" applyFont="1" applyBorder="1"/>
    <xf numFmtId="176" fontId="7" fillId="0" borderId="20" xfId="0" applyNumberFormat="1" applyFont="1" applyBorder="1"/>
    <xf numFmtId="176" fontId="7" fillId="0" borderId="21" xfId="0" applyNumberFormat="1" applyFont="1" applyBorder="1"/>
    <xf numFmtId="176" fontId="7" fillId="0" borderId="22" xfId="0" applyNumberFormat="1" applyFont="1" applyBorder="1"/>
    <xf numFmtId="176" fontId="7" fillId="0" borderId="24" xfId="0" applyNumberFormat="1" applyFont="1" applyBorder="1"/>
    <xf numFmtId="176" fontId="7" fillId="0" borderId="25" xfId="0" applyNumberFormat="1" applyFont="1" applyBorder="1"/>
    <xf numFmtId="176" fontId="7" fillId="0" borderId="26" xfId="0" applyNumberFormat="1" applyFont="1" applyBorder="1"/>
    <xf numFmtId="176" fontId="6" fillId="0" borderId="20" xfId="0" applyNumberFormat="1" applyFont="1" applyBorder="1"/>
    <xf numFmtId="176" fontId="6" fillId="0" borderId="21" xfId="0" applyNumberFormat="1" applyFont="1" applyBorder="1"/>
    <xf numFmtId="176" fontId="6" fillId="0" borderId="22" xfId="0" applyNumberFormat="1" applyFont="1" applyBorder="1"/>
    <xf numFmtId="176" fontId="6" fillId="0" borderId="1" xfId="0" applyNumberFormat="1" applyFont="1" applyBorder="1"/>
    <xf numFmtId="176" fontId="6" fillId="0" borderId="3" xfId="0" applyNumberFormat="1" applyFont="1" applyBorder="1"/>
    <xf numFmtId="176" fontId="6" fillId="0" borderId="13" xfId="0" applyNumberFormat="1" applyFont="1" applyBorder="1"/>
    <xf numFmtId="176" fontId="6" fillId="0" borderId="24" xfId="0" applyNumberFormat="1" applyFont="1" applyBorder="1"/>
    <xf numFmtId="176" fontId="6" fillId="0" borderId="25" xfId="0" applyNumberFormat="1" applyFont="1" applyBorder="1"/>
    <xf numFmtId="176" fontId="6" fillId="0" borderId="26" xfId="0" applyNumberFormat="1" applyFont="1" applyBorder="1"/>
    <xf numFmtId="176" fontId="6" fillId="0" borderId="14" xfId="0" applyNumberFormat="1" applyFont="1" applyBorder="1"/>
    <xf numFmtId="176" fontId="7" fillId="0" borderId="23" xfId="0" applyNumberFormat="1" applyFont="1" applyBorder="1"/>
    <xf numFmtId="176" fontId="7" fillId="0" borderId="27" xfId="0" applyNumberFormat="1" applyFont="1" applyBorder="1"/>
    <xf numFmtId="176" fontId="6" fillId="0" borderId="23" xfId="0" applyNumberFormat="1" applyFont="1" applyBorder="1"/>
    <xf numFmtId="176" fontId="6" fillId="0" borderId="27" xfId="0" applyNumberFormat="1" applyFont="1" applyBorder="1"/>
    <xf numFmtId="0" fontId="7" fillId="2" borderId="12" xfId="0" applyFont="1" applyFill="1" applyBorder="1" applyAlignment="1"/>
    <xf numFmtId="0" fontId="7" fillId="2" borderId="6" xfId="0" applyFont="1" applyFill="1" applyBorder="1" applyAlignment="1"/>
    <xf numFmtId="176" fontId="4" fillId="0" borderId="0" xfId="0" applyNumberFormat="1" applyFont="1"/>
    <xf numFmtId="176" fontId="4" fillId="6" borderId="1" xfId="0" applyNumberFormat="1" applyFont="1" applyFill="1" applyBorder="1"/>
    <xf numFmtId="176" fontId="4" fillId="0" borderId="24" xfId="0" applyNumberFormat="1" applyFont="1" applyFill="1" applyBorder="1"/>
    <xf numFmtId="176" fontId="4" fillId="0" borderId="4" xfId="0" applyNumberFormat="1" applyFont="1" applyBorder="1"/>
    <xf numFmtId="176" fontId="4" fillId="0" borderId="31" xfId="0" applyNumberFormat="1" applyFont="1" applyBorder="1"/>
    <xf numFmtId="176" fontId="4" fillId="0" borderId="32" xfId="0" applyNumberFormat="1" applyFont="1" applyBorder="1"/>
    <xf numFmtId="176" fontId="4" fillId="0" borderId="33" xfId="0" applyNumberFormat="1" applyFont="1" applyBorder="1"/>
    <xf numFmtId="0" fontId="7" fillId="5" borderId="0" xfId="0" applyFont="1" applyFill="1" applyAlignment="1">
      <alignment horizontal="center" vertical="top" wrapText="1"/>
    </xf>
    <xf numFmtId="0" fontId="7" fillId="5" borderId="2" xfId="0" applyFont="1" applyFill="1" applyBorder="1" applyAlignment="1">
      <alignment horizontal="center" vertical="top" wrapText="1"/>
    </xf>
    <xf numFmtId="0" fontId="12" fillId="0" borderId="0" xfId="0" applyFont="1"/>
    <xf numFmtId="0" fontId="7" fillId="5" borderId="17" xfId="0" applyFont="1" applyFill="1" applyBorder="1" applyAlignment="1">
      <alignment horizontal="center" vertical="top" wrapText="1"/>
    </xf>
    <xf numFmtId="0" fontId="7" fillId="5" borderId="34" xfId="0" applyFont="1" applyFill="1" applyBorder="1" applyAlignment="1">
      <alignment horizontal="center" vertical="top" wrapText="1"/>
    </xf>
    <xf numFmtId="0" fontId="7" fillId="5" borderId="35" xfId="0" applyFont="1" applyFill="1" applyBorder="1" applyAlignment="1">
      <alignment horizontal="center" vertical="top" wrapText="1"/>
    </xf>
    <xf numFmtId="9" fontId="7" fillId="0" borderId="11" xfId="6" applyFont="1" applyBorder="1" applyAlignment="1">
      <alignment horizontal="center"/>
    </xf>
    <xf numFmtId="1" fontId="7" fillId="0" borderId="11" xfId="0" applyNumberFormat="1" applyFont="1" applyBorder="1" applyAlignment="1">
      <alignment horizontal="center"/>
    </xf>
    <xf numFmtId="0" fontId="16" fillId="0" borderId="36" xfId="0" applyFont="1" applyFill="1" applyBorder="1" applyAlignment="1">
      <alignment horizontal="center" vertical="top" wrapText="1"/>
    </xf>
    <xf numFmtId="0" fontId="16" fillId="0" borderId="37"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4"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1" fillId="0" borderId="9" xfId="0" applyFont="1" applyFill="1" applyBorder="1" applyAlignment="1">
      <alignment horizontal="left"/>
    </xf>
    <xf numFmtId="0" fontId="16" fillId="0" borderId="9" xfId="0" applyFont="1" applyFill="1" applyBorder="1" applyAlignment="1">
      <alignment horizontal="centerContinuous"/>
    </xf>
    <xf numFmtId="0" fontId="14" fillId="0" borderId="0" xfId="0" applyFont="1"/>
    <xf numFmtId="0" fontId="16" fillId="0" borderId="41"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4" xfId="0" applyFont="1" applyFill="1" applyBorder="1" applyAlignment="1">
      <alignment horizontal="center" vertical="top" wrapText="1"/>
    </xf>
    <xf numFmtId="0" fontId="16" fillId="0" borderId="10" xfId="0" applyFont="1" applyFill="1" applyBorder="1" applyAlignment="1">
      <alignment horizontal="center" vertical="top" wrapText="1"/>
    </xf>
    <xf numFmtId="0" fontId="16" fillId="0" borderId="9" xfId="0" applyFont="1" applyFill="1" applyBorder="1" applyAlignment="1">
      <alignment horizontal="center" vertical="top" wrapText="1"/>
    </xf>
    <xf numFmtId="177" fontId="14" fillId="0" borderId="3" xfId="0" applyNumberFormat="1" applyFont="1" applyBorder="1"/>
    <xf numFmtId="177" fontId="14" fillId="0" borderId="42" xfId="0" applyNumberFormat="1" applyFont="1" applyBorder="1"/>
    <xf numFmtId="177" fontId="14" fillId="0" borderId="8" xfId="0" applyNumberFormat="1" applyFont="1" applyBorder="1"/>
    <xf numFmtId="177" fontId="14" fillId="0" borderId="0" xfId="0" applyNumberFormat="1" applyFont="1" applyBorder="1"/>
    <xf numFmtId="177" fontId="14" fillId="0" borderId="3" xfId="0" applyNumberFormat="1" applyFont="1" applyFill="1" applyBorder="1"/>
    <xf numFmtId="177" fontId="14" fillId="0" borderId="42" xfId="0" applyNumberFormat="1" applyFont="1" applyFill="1" applyBorder="1"/>
    <xf numFmtId="177" fontId="14" fillId="0" borderId="8" xfId="0" applyNumberFormat="1" applyFont="1" applyFill="1" applyBorder="1"/>
    <xf numFmtId="177" fontId="14" fillId="0" borderId="12" xfId="0" applyNumberFormat="1" applyFont="1" applyBorder="1"/>
    <xf numFmtId="177" fontId="14" fillId="0" borderId="43" xfId="0" applyNumberFormat="1" applyFont="1" applyBorder="1"/>
    <xf numFmtId="177" fontId="14" fillId="0" borderId="7" xfId="0" applyNumberFormat="1" applyFont="1" applyBorder="1"/>
    <xf numFmtId="177" fontId="14" fillId="0" borderId="6" xfId="0" applyNumberFormat="1" applyFont="1" applyBorder="1"/>
    <xf numFmtId="177" fontId="16" fillId="0" borderId="3" xfId="0" applyNumberFormat="1" applyFont="1" applyBorder="1"/>
    <xf numFmtId="177" fontId="16" fillId="0" borderId="42" xfId="0" applyNumberFormat="1" applyFont="1" applyBorder="1"/>
    <xf numFmtId="177" fontId="16" fillId="0" borderId="8" xfId="0" applyNumberFormat="1" applyFont="1" applyBorder="1"/>
    <xf numFmtId="177" fontId="16" fillId="0" borderId="0" xfId="0" applyNumberFormat="1" applyFont="1" applyBorder="1"/>
    <xf numFmtId="0" fontId="16" fillId="0" borderId="44" xfId="0" applyNumberFormat="1" applyFont="1" applyBorder="1"/>
    <xf numFmtId="177" fontId="14" fillId="0" borderId="4" xfId="0" applyNumberFormat="1" applyFont="1" applyBorder="1"/>
    <xf numFmtId="177" fontId="14" fillId="0" borderId="36" xfId="0" applyNumberFormat="1" applyFont="1" applyBorder="1"/>
    <xf numFmtId="177" fontId="14" fillId="0" borderId="10" xfId="0" applyNumberFormat="1" applyFont="1" applyBorder="1"/>
    <xf numFmtId="177" fontId="14" fillId="0" borderId="9" xfId="0" applyNumberFormat="1" applyFont="1" applyBorder="1"/>
    <xf numFmtId="0" fontId="14" fillId="0" borderId="0" xfId="0" applyFont="1" applyAlignment="1">
      <alignment horizontal="left" wrapText="1"/>
    </xf>
    <xf numFmtId="0" fontId="9" fillId="0" borderId="0" xfId="0" applyFont="1"/>
    <xf numFmtId="0" fontId="16" fillId="0" borderId="4" xfId="0" applyFont="1" applyFill="1" applyBorder="1" applyAlignment="1">
      <alignment horizontal="left" vertical="center"/>
    </xf>
    <xf numFmtId="0" fontId="18" fillId="0" borderId="3" xfId="0" applyFont="1" applyBorder="1"/>
    <xf numFmtId="0" fontId="14" fillId="0" borderId="42" xfId="0" applyNumberFormat="1" applyFont="1" applyBorder="1" applyAlignment="1">
      <alignment horizontal="center"/>
    </xf>
    <xf numFmtId="0" fontId="16" fillId="0" borderId="6" xfId="0" applyFont="1" applyBorder="1" applyAlignment="1">
      <alignment horizontal="center"/>
    </xf>
    <xf numFmtId="0" fontId="16" fillId="0" borderId="43" xfId="0" applyFont="1" applyBorder="1" applyAlignment="1">
      <alignment horizontal="center"/>
    </xf>
    <xf numFmtId="0" fontId="16" fillId="0" borderId="7" xfId="0" applyFont="1" applyBorder="1" applyAlignment="1">
      <alignment horizontal="center"/>
    </xf>
    <xf numFmtId="0" fontId="16" fillId="0" borderId="12" xfId="0" applyFont="1" applyBorder="1" applyAlignment="1">
      <alignment horizontal="center"/>
    </xf>
    <xf numFmtId="0" fontId="16" fillId="0" borderId="45" xfId="0" applyFont="1" applyBorder="1" applyAlignment="1">
      <alignment horizontal="center"/>
    </xf>
    <xf numFmtId="0" fontId="16" fillId="0" borderId="8" xfId="0" applyFont="1" applyBorder="1" applyAlignment="1">
      <alignment horizontal="center"/>
    </xf>
    <xf numFmtId="0" fontId="16" fillId="0" borderId="1" xfId="0" applyFont="1" applyBorder="1" applyAlignment="1">
      <alignment horizontal="center"/>
    </xf>
    <xf numFmtId="0" fontId="14" fillId="0" borderId="3" xfId="0" applyFont="1" applyBorder="1" applyAlignment="1">
      <alignment horizontal="left" indent="1"/>
    </xf>
    <xf numFmtId="178" fontId="14" fillId="0" borderId="0" xfId="0" applyNumberFormat="1" applyFont="1" applyBorder="1" applyAlignment="1">
      <alignment horizontal="right"/>
    </xf>
    <xf numFmtId="178" fontId="14" fillId="0" borderId="42" xfId="0" applyNumberFormat="1" applyFont="1" applyBorder="1" applyAlignment="1">
      <alignment horizontal="right"/>
    </xf>
    <xf numFmtId="178" fontId="14" fillId="0" borderId="8" xfId="0" applyNumberFormat="1" applyFont="1" applyBorder="1" applyAlignment="1">
      <alignment horizontal="right"/>
    </xf>
    <xf numFmtId="178" fontId="14" fillId="0" borderId="3" xfId="0" applyNumberFormat="1" applyFont="1" applyBorder="1" applyAlignment="1">
      <alignment horizontal="right"/>
    </xf>
    <xf numFmtId="172" fontId="14" fillId="0" borderId="8" xfId="0" applyNumberFormat="1" applyFont="1" applyBorder="1"/>
    <xf numFmtId="172" fontId="14" fillId="0" borderId="1" xfId="0" applyNumberFormat="1" applyFont="1" applyBorder="1"/>
    <xf numFmtId="0" fontId="16" fillId="0" borderId="3" xfId="0" applyFont="1" applyBorder="1" applyAlignment="1">
      <alignment horizontal="left"/>
    </xf>
    <xf numFmtId="172" fontId="16" fillId="0" borderId="34" xfId="0" applyNumberFormat="1" applyFont="1" applyBorder="1"/>
    <xf numFmtId="172" fontId="16" fillId="0" borderId="2" xfId="0" applyNumberFormat="1" applyFont="1" applyBorder="1"/>
    <xf numFmtId="0" fontId="14" fillId="0" borderId="3" xfId="0" applyFont="1" applyBorder="1"/>
    <xf numFmtId="178" fontId="14" fillId="0" borderId="0" xfId="0" applyNumberFormat="1" applyFont="1" applyBorder="1"/>
    <xf numFmtId="178" fontId="14" fillId="0" borderId="42" xfId="0" applyNumberFormat="1" applyFont="1" applyBorder="1"/>
    <xf numFmtId="178" fontId="14" fillId="0" borderId="8" xfId="0" applyNumberFormat="1" applyFont="1" applyBorder="1"/>
    <xf numFmtId="178" fontId="14" fillId="0" borderId="3" xfId="0" applyNumberFormat="1" applyFont="1" applyBorder="1"/>
    <xf numFmtId="178" fontId="14" fillId="0" borderId="47" xfId="0" applyNumberFormat="1" applyFont="1" applyBorder="1"/>
    <xf numFmtId="178" fontId="14" fillId="0" borderId="42" xfId="0" applyNumberFormat="1" applyFont="1" applyFill="1" applyBorder="1"/>
    <xf numFmtId="172" fontId="14" fillId="0" borderId="8" xfId="0" applyNumberFormat="1" applyFont="1" applyFill="1" applyBorder="1"/>
    <xf numFmtId="172" fontId="14" fillId="0" borderId="1" xfId="0" applyNumberFormat="1" applyFont="1" applyFill="1" applyBorder="1"/>
    <xf numFmtId="178" fontId="14" fillId="0" borderId="0" xfId="0" applyNumberFormat="1" applyFont="1" applyFill="1" applyBorder="1"/>
    <xf numFmtId="178" fontId="14" fillId="0" borderId="47" xfId="0" applyNumberFormat="1" applyFont="1" applyFill="1" applyBorder="1"/>
    <xf numFmtId="178" fontId="16" fillId="0" borderId="48" xfId="0" applyNumberFormat="1" applyFont="1" applyBorder="1"/>
    <xf numFmtId="178" fontId="16" fillId="0" borderId="46" xfId="0" applyNumberFormat="1" applyFont="1" applyBorder="1"/>
    <xf numFmtId="178" fontId="16" fillId="0" borderId="49" xfId="0" applyNumberFormat="1" applyFont="1" applyBorder="1"/>
    <xf numFmtId="178" fontId="16" fillId="0" borderId="50" xfId="0" applyNumberFormat="1" applyFont="1" applyBorder="1"/>
    <xf numFmtId="178" fontId="16" fillId="0" borderId="51" xfId="0" applyNumberFormat="1" applyFont="1" applyBorder="1"/>
    <xf numFmtId="178" fontId="16" fillId="0" borderId="0" xfId="0" applyNumberFormat="1" applyFont="1" applyBorder="1"/>
    <xf numFmtId="178" fontId="16" fillId="0" borderId="42" xfId="0" applyNumberFormat="1" applyFont="1" applyBorder="1"/>
    <xf numFmtId="178" fontId="16" fillId="0" borderId="8" xfId="0" applyNumberFormat="1" applyFont="1" applyBorder="1"/>
    <xf numFmtId="178" fontId="16" fillId="0" borderId="3" xfId="0" applyNumberFormat="1" applyFont="1" applyBorder="1"/>
    <xf numFmtId="172" fontId="16" fillId="0" borderId="8" xfId="0" applyNumberFormat="1" applyFont="1" applyBorder="1"/>
    <xf numFmtId="172" fontId="16" fillId="0" borderId="1" xfId="0" applyNumberFormat="1" applyFont="1" applyBorder="1"/>
    <xf numFmtId="0" fontId="16" fillId="0" borderId="52" xfId="0" applyFont="1" applyBorder="1"/>
    <xf numFmtId="0" fontId="14" fillId="0" borderId="53" xfId="0" applyNumberFormat="1" applyFont="1" applyBorder="1" applyAlignment="1">
      <alignment horizontal="center"/>
    </xf>
    <xf numFmtId="178" fontId="16" fillId="0" borderId="54" xfId="0" applyNumberFormat="1" applyFont="1" applyFill="1" applyBorder="1"/>
    <xf numFmtId="178" fontId="16" fillId="0" borderId="53" xfId="0" applyNumberFormat="1" applyFont="1" applyFill="1" applyBorder="1"/>
    <xf numFmtId="178" fontId="16" fillId="0" borderId="55" xfId="0" applyNumberFormat="1" applyFont="1" applyBorder="1"/>
    <xf numFmtId="178" fontId="16" fillId="0" borderId="52" xfId="0" applyNumberFormat="1" applyFont="1" applyBorder="1"/>
    <xf numFmtId="178" fontId="16" fillId="0" borderId="53" xfId="0" applyNumberFormat="1" applyFont="1" applyBorder="1"/>
    <xf numFmtId="178" fontId="16" fillId="0" borderId="54" xfId="0" applyNumberFormat="1" applyFont="1" applyBorder="1"/>
    <xf numFmtId="172" fontId="16" fillId="0" borderId="57" xfId="0" applyNumberFormat="1" applyFont="1" applyBorder="1"/>
    <xf numFmtId="172" fontId="16" fillId="0" borderId="58" xfId="0" applyNumberFormat="1" applyFont="1" applyBorder="1"/>
    <xf numFmtId="0" fontId="20" fillId="0" borderId="0" xfId="0" applyFont="1" applyBorder="1"/>
    <xf numFmtId="0" fontId="14" fillId="0" borderId="0" xfId="0" applyFont="1" applyBorder="1" applyAlignment="1">
      <alignment horizontal="center"/>
    </xf>
    <xf numFmtId="0" fontId="16" fillId="0" borderId="0" xfId="0" applyFont="1" applyFill="1" applyBorder="1"/>
    <xf numFmtId="172" fontId="16" fillId="0" borderId="0" xfId="0" applyNumberFormat="1" applyFont="1" applyFill="1" applyBorder="1"/>
    <xf numFmtId="0" fontId="19" fillId="0" borderId="0" xfId="0" quotePrefix="1" applyFont="1" applyBorder="1"/>
    <xf numFmtId="0" fontId="16" fillId="0" borderId="0" xfId="0" applyFont="1" applyBorder="1"/>
    <xf numFmtId="172" fontId="16" fillId="0" borderId="0" xfId="0" applyNumberFormat="1" applyFont="1" applyBorder="1"/>
    <xf numFmtId="0" fontId="19" fillId="0" borderId="0" xfId="0" applyFont="1" applyBorder="1" applyAlignment="1">
      <alignment horizontal="center"/>
    </xf>
    <xf numFmtId="0" fontId="19" fillId="0" borderId="0" xfId="0" applyFont="1" applyBorder="1" applyAlignment="1">
      <alignment horizontal="right"/>
    </xf>
    <xf numFmtId="168" fontId="14" fillId="0" borderId="0" xfId="1" applyNumberFormat="1" applyFont="1"/>
    <xf numFmtId="0" fontId="14" fillId="0" borderId="0" xfId="0" applyFont="1" applyBorder="1"/>
    <xf numFmtId="0" fontId="14" fillId="0" borderId="0" xfId="0" applyFont="1" applyAlignment="1">
      <alignment horizontal="center"/>
    </xf>
    <xf numFmtId="0" fontId="16" fillId="0" borderId="9" xfId="0" applyFont="1" applyFill="1" applyBorder="1" applyAlignment="1">
      <alignment horizontal="left"/>
    </xf>
    <xf numFmtId="0" fontId="18" fillId="0" borderId="3" xfId="0" applyNumberFormat="1" applyFont="1" applyBorder="1"/>
    <xf numFmtId="0" fontId="14" fillId="0" borderId="3" xfId="0" applyNumberFormat="1" applyFont="1" applyBorder="1" applyAlignment="1">
      <alignment horizontal="left" indent="1"/>
    </xf>
    <xf numFmtId="178" fontId="14" fillId="0" borderId="3" xfId="0" applyNumberFormat="1" applyFont="1" applyFill="1" applyBorder="1"/>
    <xf numFmtId="168" fontId="14" fillId="0" borderId="0" xfId="1" applyNumberFormat="1" applyFont="1" applyAlignment="1">
      <alignment horizontal="center"/>
    </xf>
    <xf numFmtId="171" fontId="14" fillId="0" borderId="0" xfId="6" applyNumberFormat="1" applyFont="1" applyAlignment="1">
      <alignment horizontal="center"/>
    </xf>
    <xf numFmtId="0" fontId="14" fillId="0" borderId="3" xfId="0" applyNumberFormat="1" applyFont="1" applyFill="1" applyBorder="1" applyAlignment="1">
      <alignment horizontal="left" indent="1"/>
    </xf>
    <xf numFmtId="178" fontId="14" fillId="0" borderId="0" xfId="1" applyNumberFormat="1" applyFont="1" applyBorder="1"/>
    <xf numFmtId="178" fontId="14" fillId="0" borderId="42" xfId="1" applyNumberFormat="1" applyFont="1" applyFill="1" applyBorder="1"/>
    <xf numFmtId="178" fontId="14" fillId="0" borderId="3" xfId="1" applyNumberFormat="1" applyFont="1" applyFill="1" applyBorder="1"/>
    <xf numFmtId="178" fontId="14" fillId="0" borderId="0" xfId="1" applyNumberFormat="1" applyFont="1" applyFill="1" applyBorder="1"/>
    <xf numFmtId="178" fontId="14" fillId="0" borderId="8" xfId="1" applyNumberFormat="1" applyFont="1" applyFill="1" applyBorder="1"/>
    <xf numFmtId="178" fontId="14" fillId="0" borderId="47" xfId="1" applyNumberFormat="1" applyFont="1" applyFill="1" applyBorder="1"/>
    <xf numFmtId="178" fontId="14" fillId="0" borderId="8" xfId="0" applyNumberFormat="1" applyFont="1" applyFill="1" applyBorder="1"/>
    <xf numFmtId="0" fontId="16" fillId="0" borderId="3" xfId="0" applyNumberFormat="1" applyFont="1" applyBorder="1"/>
    <xf numFmtId="178" fontId="16" fillId="0" borderId="48" xfId="0" applyNumberFormat="1" applyFont="1" applyFill="1" applyBorder="1"/>
    <xf numFmtId="178" fontId="16" fillId="0" borderId="46" xfId="0" applyNumberFormat="1" applyFont="1" applyFill="1" applyBorder="1"/>
    <xf numFmtId="178" fontId="16" fillId="0" borderId="49" xfId="0" applyNumberFormat="1" applyFont="1" applyFill="1" applyBorder="1"/>
    <xf numFmtId="178" fontId="16" fillId="0" borderId="50" xfId="0" applyNumberFormat="1" applyFont="1" applyFill="1" applyBorder="1"/>
    <xf numFmtId="178" fontId="16" fillId="0" borderId="51" xfId="0" applyNumberFormat="1" applyFont="1" applyFill="1" applyBorder="1"/>
    <xf numFmtId="168" fontId="14" fillId="0" borderId="0" xfId="0" applyNumberFormat="1" applyFont="1"/>
    <xf numFmtId="171" fontId="14" fillId="0" borderId="0" xfId="0" applyNumberFormat="1" applyFont="1"/>
    <xf numFmtId="0" fontId="14" fillId="0" borderId="3" xfId="0" applyNumberFormat="1" applyFont="1" applyBorder="1"/>
    <xf numFmtId="0" fontId="21" fillId="0" borderId="42" xfId="0" applyNumberFormat="1" applyFont="1" applyBorder="1" applyAlignment="1">
      <alignment horizontal="center"/>
    </xf>
    <xf numFmtId="171" fontId="14" fillId="0" borderId="0" xfId="0" applyNumberFormat="1" applyFont="1" applyAlignment="1">
      <alignment horizontal="center"/>
    </xf>
    <xf numFmtId="0" fontId="16" fillId="0" borderId="52" xfId="0" applyNumberFormat="1" applyFont="1" applyBorder="1"/>
    <xf numFmtId="178" fontId="16" fillId="0" borderId="9" xfId="0" applyNumberFormat="1" applyFont="1" applyBorder="1"/>
    <xf numFmtId="178" fontId="16" fillId="0" borderId="36" xfId="0" applyNumberFormat="1" applyFont="1" applyBorder="1"/>
    <xf numFmtId="178" fontId="16" fillId="0" borderId="10" xfId="0" applyNumberFormat="1" applyFont="1" applyBorder="1"/>
    <xf numFmtId="178" fontId="16" fillId="0" borderId="4" xfId="0" applyNumberFormat="1" applyFont="1" applyBorder="1"/>
    <xf numFmtId="178" fontId="16" fillId="0" borderId="64" xfId="0" applyNumberFormat="1" applyFont="1" applyBorder="1"/>
    <xf numFmtId="0" fontId="19" fillId="0" borderId="0" xfId="0" applyFont="1" applyBorder="1"/>
    <xf numFmtId="0" fontId="19" fillId="0" borderId="3" xfId="0" applyFont="1" applyBorder="1" applyAlignment="1">
      <alignment horizontal="right"/>
    </xf>
    <xf numFmtId="168" fontId="19" fillId="0" borderId="0" xfId="1" applyNumberFormat="1" applyFont="1" applyBorder="1" applyAlignment="1">
      <alignment horizontal="right"/>
    </xf>
    <xf numFmtId="0" fontId="14" fillId="0" borderId="36" xfId="0" applyFont="1" applyFill="1" applyBorder="1" applyAlignment="1">
      <alignment horizontal="center" vertical="center"/>
    </xf>
    <xf numFmtId="0" fontId="14" fillId="0" borderId="43" xfId="0" applyFont="1" applyBorder="1" applyAlignment="1">
      <alignment horizontal="center"/>
    </xf>
    <xf numFmtId="0" fontId="14" fillId="0" borderId="42" xfId="0" applyFont="1" applyBorder="1" applyAlignment="1">
      <alignment horizontal="center"/>
    </xf>
    <xf numFmtId="0" fontId="14" fillId="0" borderId="42" xfId="0" applyFont="1" applyFill="1" applyBorder="1" applyAlignment="1">
      <alignment horizontal="center"/>
    </xf>
    <xf numFmtId="0" fontId="21" fillId="0" borderId="42" xfId="0" applyFont="1" applyBorder="1" applyAlignment="1">
      <alignment horizontal="center"/>
    </xf>
    <xf numFmtId="0" fontId="16" fillId="0" borderId="3" xfId="0" applyNumberFormat="1" applyFont="1" applyBorder="1" applyAlignment="1">
      <alignment horizontal="left" wrapText="1"/>
    </xf>
    <xf numFmtId="0" fontId="16" fillId="0" borderId="4" xfId="0" applyFont="1" applyFill="1" applyBorder="1" applyAlignment="1">
      <alignment horizontal="center" vertical="center" wrapText="1"/>
    </xf>
    <xf numFmtId="0" fontId="16" fillId="0" borderId="3" xfId="0" applyNumberFormat="1" applyFont="1" applyBorder="1" applyAlignment="1">
      <alignment wrapText="1"/>
    </xf>
    <xf numFmtId="0" fontId="14" fillId="0" borderId="3" xfId="0" applyNumberFormat="1" applyFont="1" applyBorder="1" applyAlignment="1">
      <alignment horizontal="left" wrapText="1" indent="1"/>
    </xf>
    <xf numFmtId="0" fontId="16" fillId="0" borderId="56" xfId="0" applyNumberFormat="1" applyFont="1" applyBorder="1"/>
    <xf numFmtId="0" fontId="14" fillId="0" borderId="53" xfId="0" applyFont="1" applyBorder="1" applyAlignment="1">
      <alignment horizontal="center"/>
    </xf>
    <xf numFmtId="0" fontId="20" fillId="0" borderId="0" xfId="0" applyNumberFormat="1" applyFont="1" applyBorder="1"/>
    <xf numFmtId="0" fontId="19" fillId="0" borderId="0" xfId="0" applyNumberFormat="1" applyFont="1" applyBorder="1"/>
    <xf numFmtId="172" fontId="14" fillId="0" borderId="0" xfId="0" applyNumberFormat="1" applyFont="1" applyBorder="1"/>
    <xf numFmtId="172" fontId="14" fillId="0" borderId="0" xfId="0" applyNumberFormat="1" applyFont="1"/>
    <xf numFmtId="178" fontId="16" fillId="0" borderId="43" xfId="0" applyNumberFormat="1" applyFont="1" applyBorder="1" applyAlignment="1">
      <alignment horizontal="center"/>
    </xf>
    <xf numFmtId="178" fontId="16" fillId="0" borderId="6" xfId="0" applyNumberFormat="1" applyFont="1" applyBorder="1" applyAlignment="1">
      <alignment horizontal="center"/>
    </xf>
    <xf numFmtId="178" fontId="16" fillId="0" borderId="12" xfId="0" applyNumberFormat="1" applyFont="1" applyBorder="1" applyAlignment="1">
      <alignment horizontal="center"/>
    </xf>
    <xf numFmtId="178" fontId="16" fillId="0" borderId="7" xfId="0" applyNumberFormat="1" applyFont="1" applyBorder="1" applyAlignment="1">
      <alignment horizontal="center"/>
    </xf>
    <xf numFmtId="178" fontId="16" fillId="0" borderId="42" xfId="0" applyNumberFormat="1" applyFont="1" applyBorder="1" applyAlignment="1">
      <alignment horizontal="center"/>
    </xf>
    <xf numFmtId="178" fontId="16" fillId="0" borderId="0" xfId="0" applyNumberFormat="1" applyFont="1" applyBorder="1" applyAlignment="1">
      <alignment horizontal="center"/>
    </xf>
    <xf numFmtId="178" fontId="16" fillId="0" borderId="3" xfId="0" applyNumberFormat="1" applyFont="1" applyBorder="1" applyAlignment="1">
      <alignment horizontal="center"/>
    </xf>
    <xf numFmtId="178" fontId="16" fillId="0" borderId="8" xfId="0" applyNumberFormat="1" applyFont="1" applyBorder="1" applyAlignment="1">
      <alignment horizontal="center"/>
    </xf>
    <xf numFmtId="167" fontId="14" fillId="0" borderId="0" xfId="1" applyFont="1" applyFill="1" applyBorder="1" applyAlignment="1">
      <alignment horizontal="right"/>
    </xf>
    <xf numFmtId="178" fontId="14" fillId="0" borderId="42" xfId="0" applyNumberFormat="1" applyFont="1" applyBorder="1" applyAlignment="1">
      <alignment horizontal="center"/>
    </xf>
    <xf numFmtId="0" fontId="14" fillId="0" borderId="3" xfId="0" applyFont="1" applyFill="1" applyBorder="1" applyAlignment="1">
      <alignment horizontal="left" indent="1"/>
    </xf>
    <xf numFmtId="0" fontId="16" fillId="0" borderId="3" xfId="0" applyFont="1" applyBorder="1"/>
    <xf numFmtId="0" fontId="16" fillId="0" borderId="52" xfId="0" applyFont="1" applyBorder="1" applyAlignment="1">
      <alignment horizontal="left"/>
    </xf>
    <xf numFmtId="0" fontId="16" fillId="0" borderId="3" xfId="0" applyFont="1" applyFill="1" applyBorder="1"/>
    <xf numFmtId="170" fontId="14" fillId="0" borderId="0" xfId="0" applyNumberFormat="1" applyFont="1"/>
    <xf numFmtId="0" fontId="14" fillId="0" borderId="0" xfId="0" applyFont="1" applyBorder="1" applyAlignment="1"/>
    <xf numFmtId="0" fontId="14" fillId="0" borderId="4" xfId="0" applyFont="1" applyBorder="1"/>
    <xf numFmtId="0" fontId="14" fillId="0" borderId="9" xfId="0" applyFont="1" applyBorder="1" applyAlignment="1">
      <alignment horizontal="center"/>
    </xf>
    <xf numFmtId="169" fontId="14" fillId="0" borderId="0" xfId="1" applyNumberFormat="1" applyFont="1" applyFill="1"/>
    <xf numFmtId="0" fontId="16" fillId="0" borderId="62" xfId="0" applyFont="1" applyBorder="1"/>
    <xf numFmtId="0" fontId="14" fillId="0" borderId="60" xfId="0" applyFont="1" applyBorder="1" applyAlignment="1">
      <alignment horizontal="center"/>
    </xf>
    <xf numFmtId="178" fontId="16" fillId="0" borderId="8" xfId="0" applyNumberFormat="1" applyFont="1" applyFill="1" applyBorder="1"/>
    <xf numFmtId="0" fontId="16" fillId="0" borderId="4" xfId="0" applyFont="1" applyBorder="1"/>
    <xf numFmtId="0" fontId="14" fillId="0" borderId="36" xfId="0" applyFont="1" applyBorder="1" applyAlignment="1">
      <alignment horizontal="center"/>
    </xf>
    <xf numFmtId="178" fontId="16" fillId="0" borderId="36" xfId="0" applyNumberFormat="1" applyFont="1" applyFill="1" applyBorder="1"/>
    <xf numFmtId="178" fontId="16" fillId="0" borderId="64" xfId="0" applyNumberFormat="1" applyFont="1" applyFill="1" applyBorder="1"/>
    <xf numFmtId="0" fontId="14" fillId="0" borderId="42" xfId="0" applyNumberFormat="1" applyFont="1" applyFill="1" applyBorder="1" applyAlignment="1">
      <alignment horizontal="center"/>
    </xf>
    <xf numFmtId="178" fontId="14" fillId="0" borderId="45" xfId="0" applyNumberFormat="1" applyFont="1" applyFill="1" applyBorder="1"/>
    <xf numFmtId="178" fontId="16" fillId="0" borderId="55" xfId="0" applyNumberFormat="1" applyFont="1" applyFill="1" applyBorder="1"/>
    <xf numFmtId="178" fontId="16" fillId="0" borderId="52" xfId="0" applyNumberFormat="1" applyFont="1" applyFill="1" applyBorder="1"/>
    <xf numFmtId="178" fontId="16" fillId="0" borderId="56" xfId="0" applyNumberFormat="1" applyFont="1" applyFill="1" applyBorder="1"/>
    <xf numFmtId="0" fontId="14" fillId="0" borderId="0" xfId="0" applyFont="1" applyAlignment="1">
      <alignment horizontal="center" vertical="center" wrapText="1"/>
    </xf>
    <xf numFmtId="0" fontId="20" fillId="0" borderId="0" xfId="0" applyFont="1"/>
    <xf numFmtId="0" fontId="19" fillId="0" borderId="0" xfId="0" quotePrefix="1" applyFont="1" applyFill="1" applyBorder="1"/>
    <xf numFmtId="0" fontId="22" fillId="0" borderId="0" xfId="0" applyFont="1"/>
    <xf numFmtId="0" fontId="21" fillId="0" borderId="0" xfId="0" applyFont="1" applyFill="1" applyBorder="1"/>
    <xf numFmtId="0" fontId="14" fillId="0" borderId="0" xfId="0" applyFont="1" applyFill="1" applyBorder="1"/>
    <xf numFmtId="178" fontId="14" fillId="0" borderId="65" xfId="0" applyNumberFormat="1" applyFont="1" applyFill="1" applyBorder="1"/>
    <xf numFmtId="178" fontId="14" fillId="0" borderId="0" xfId="0" applyNumberFormat="1" applyFont="1"/>
    <xf numFmtId="172" fontId="14" fillId="0" borderId="0" xfId="0" applyNumberFormat="1" applyFont="1" applyFill="1" applyBorder="1"/>
    <xf numFmtId="0" fontId="14" fillId="0" borderId="3" xfId="0" applyNumberFormat="1" applyFont="1" applyFill="1" applyBorder="1" applyAlignment="1">
      <alignment horizontal="left" indent="2"/>
    </xf>
    <xf numFmtId="178" fontId="14" fillId="0" borderId="46" xfId="0" applyNumberFormat="1" applyFont="1" applyFill="1" applyBorder="1"/>
    <xf numFmtId="178" fontId="14" fillId="0" borderId="49" xfId="0" applyNumberFormat="1" applyFont="1" applyFill="1" applyBorder="1"/>
    <xf numFmtId="178" fontId="14" fillId="0" borderId="50" xfId="0" applyNumberFormat="1" applyFont="1" applyFill="1" applyBorder="1"/>
    <xf numFmtId="0" fontId="14" fillId="0" borderId="3" xfId="0" applyNumberFormat="1" applyFont="1" applyBorder="1" applyAlignment="1">
      <alignment horizontal="left" indent="2"/>
    </xf>
    <xf numFmtId="0" fontId="21" fillId="0" borderId="42" xfId="0" applyNumberFormat="1" applyFont="1" applyFill="1" applyBorder="1" applyAlignment="1">
      <alignment horizontal="center"/>
    </xf>
    <xf numFmtId="0" fontId="14" fillId="0" borderId="0" xfId="0" applyFont="1" applyFill="1"/>
    <xf numFmtId="0" fontId="19" fillId="0" borderId="3" xfId="0" applyNumberFormat="1" applyFont="1" applyFill="1" applyBorder="1" applyAlignment="1">
      <alignment horizontal="left" indent="1"/>
    </xf>
    <xf numFmtId="0" fontId="16" fillId="0" borderId="3" xfId="0" applyNumberFormat="1" applyFont="1" applyFill="1" applyBorder="1" applyAlignment="1">
      <alignment horizontal="left"/>
    </xf>
    <xf numFmtId="0" fontId="16" fillId="0" borderId="3" xfId="0" applyNumberFormat="1" applyFont="1" applyBorder="1" applyAlignment="1">
      <alignment horizontal="left" indent="1"/>
    </xf>
    <xf numFmtId="0" fontId="17" fillId="0" borderId="3" xfId="0" applyNumberFormat="1" applyFont="1" applyBorder="1"/>
    <xf numFmtId="0" fontId="19" fillId="0" borderId="42" xfId="0" applyNumberFormat="1" applyFont="1" applyBorder="1" applyAlignment="1">
      <alignment horizontal="center"/>
    </xf>
    <xf numFmtId="171" fontId="19" fillId="0" borderId="42" xfId="6" applyNumberFormat="1" applyFont="1" applyFill="1" applyBorder="1" applyAlignment="1">
      <alignment horizontal="center"/>
    </xf>
    <xf numFmtId="171" fontId="19" fillId="0" borderId="8" xfId="6" applyNumberFormat="1" applyFont="1" applyFill="1" applyBorder="1" applyAlignment="1">
      <alignment horizontal="center"/>
    </xf>
    <xf numFmtId="171" fontId="19" fillId="0" borderId="3" xfId="6" applyNumberFormat="1" applyFont="1" applyFill="1" applyBorder="1" applyAlignment="1">
      <alignment horizontal="center"/>
    </xf>
    <xf numFmtId="171" fontId="19" fillId="0" borderId="0" xfId="6" applyNumberFormat="1" applyFont="1" applyFill="1" applyBorder="1" applyAlignment="1">
      <alignment horizontal="center"/>
    </xf>
    <xf numFmtId="171" fontId="19" fillId="0" borderId="47" xfId="6" applyNumberFormat="1" applyFont="1" applyFill="1" applyBorder="1" applyAlignment="1">
      <alignment horizontal="center"/>
    </xf>
    <xf numFmtId="0" fontId="14" fillId="0" borderId="4" xfId="0" applyNumberFormat="1" applyFont="1" applyBorder="1"/>
    <xf numFmtId="0" fontId="14" fillId="0" borderId="36" xfId="0" applyNumberFormat="1" applyFont="1" applyBorder="1" applyAlignment="1">
      <alignment horizontal="center"/>
    </xf>
    <xf numFmtId="0" fontId="19" fillId="0" borderId="0" xfId="0" applyFont="1" applyFill="1" applyBorder="1" applyAlignment="1">
      <alignment horizontal="right"/>
    </xf>
    <xf numFmtId="0" fontId="16" fillId="0" borderId="9"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10" xfId="0" applyFont="1" applyFill="1" applyBorder="1" applyAlignment="1">
      <alignment horizontal="center" vertical="center" wrapText="1"/>
    </xf>
    <xf numFmtId="179" fontId="14" fillId="0" borderId="42" xfId="1" applyNumberFormat="1" applyFont="1" applyFill="1" applyBorder="1"/>
    <xf numFmtId="179" fontId="14" fillId="0" borderId="0" xfId="1" applyNumberFormat="1" applyFont="1" applyFill="1" applyBorder="1"/>
    <xf numFmtId="178" fontId="16" fillId="0" borderId="42" xfId="0" applyNumberFormat="1" applyFont="1" applyFill="1" applyBorder="1"/>
    <xf numFmtId="178" fontId="16" fillId="0" borderId="3" xfId="0" applyNumberFormat="1" applyFont="1" applyFill="1" applyBorder="1"/>
    <xf numFmtId="178" fontId="16" fillId="0" borderId="0" xfId="0" applyNumberFormat="1" applyFont="1" applyFill="1" applyBorder="1"/>
    <xf numFmtId="0" fontId="16" fillId="0" borderId="4" xfId="0" applyNumberFormat="1" applyFont="1" applyBorder="1"/>
    <xf numFmtId="0" fontId="14" fillId="0" borderId="36" xfId="0" applyNumberFormat="1" applyFont="1" applyFill="1" applyBorder="1" applyAlignment="1">
      <alignment horizontal="center"/>
    </xf>
    <xf numFmtId="172" fontId="14" fillId="0" borderId="43" xfId="0" applyNumberFormat="1" applyFont="1" applyBorder="1"/>
    <xf numFmtId="172" fontId="14" fillId="0" borderId="45" xfId="0" applyNumberFormat="1" applyFont="1" applyBorder="1"/>
    <xf numFmtId="0" fontId="18" fillId="0" borderId="3" xfId="0" applyFont="1" applyFill="1" applyBorder="1"/>
    <xf numFmtId="172" fontId="14" fillId="0" borderId="42" xfId="0" applyNumberFormat="1" applyFont="1" applyBorder="1"/>
    <xf numFmtId="172" fontId="14" fillId="0" borderId="47" xfId="0" applyNumberFormat="1" applyFont="1" applyBorder="1"/>
    <xf numFmtId="0" fontId="14" fillId="0" borderId="3" xfId="0" applyFont="1" applyFill="1" applyBorder="1"/>
    <xf numFmtId="178" fontId="16" fillId="0" borderId="47" xfId="0" applyNumberFormat="1" applyFont="1" applyBorder="1" applyAlignment="1">
      <alignment horizontal="center"/>
    </xf>
    <xf numFmtId="0" fontId="16" fillId="0" borderId="50" xfId="0" applyFont="1" applyBorder="1"/>
    <xf numFmtId="0" fontId="14" fillId="0" borderId="46" xfId="0" applyFont="1" applyBorder="1" applyAlignment="1">
      <alignment horizontal="center"/>
    </xf>
    <xf numFmtId="178" fontId="14" fillId="0" borderId="46" xfId="0" applyNumberFormat="1" applyFont="1" applyBorder="1"/>
    <xf numFmtId="178" fontId="14" fillId="0" borderId="49" xfId="0" applyNumberFormat="1" applyFont="1" applyBorder="1"/>
    <xf numFmtId="178" fontId="14" fillId="0" borderId="50" xfId="0" applyNumberFormat="1" applyFont="1" applyBorder="1"/>
    <xf numFmtId="178" fontId="14" fillId="0" borderId="48" xfId="0" applyNumberFormat="1" applyFont="1" applyBorder="1"/>
    <xf numFmtId="0" fontId="21" fillId="0" borderId="3" xfId="0" applyFont="1" applyBorder="1" applyAlignment="1">
      <alignment horizontal="left" indent="1"/>
    </xf>
    <xf numFmtId="0" fontId="19" fillId="0" borderId="3" xfId="0" applyFont="1" applyBorder="1" applyAlignment="1">
      <alignment horizontal="left" indent="1"/>
    </xf>
    <xf numFmtId="0" fontId="16" fillId="0" borderId="3" xfId="0" applyFont="1" applyBorder="1" applyAlignment="1">
      <alignment horizontal="left" indent="1"/>
    </xf>
    <xf numFmtId="0" fontId="14" fillId="0" borderId="3" xfId="0" applyFont="1" applyBorder="1" applyAlignment="1">
      <alignment horizontal="left" indent="2"/>
    </xf>
    <xf numFmtId="0" fontId="16" fillId="0" borderId="43" xfId="0" applyFont="1" applyFill="1" applyBorder="1" applyAlignment="1">
      <alignment vertical="center"/>
    </xf>
    <xf numFmtId="178" fontId="16" fillId="0" borderId="11" xfId="0" applyNumberFormat="1" applyFont="1" applyBorder="1" applyAlignment="1">
      <alignment horizontal="center"/>
    </xf>
    <xf numFmtId="178" fontId="16" fillId="0" borderId="1" xfId="0" applyNumberFormat="1" applyFont="1" applyBorder="1"/>
    <xf numFmtId="178" fontId="16" fillId="0" borderId="44" xfId="0" applyNumberFormat="1" applyFont="1" applyBorder="1"/>
    <xf numFmtId="0" fontId="14" fillId="0" borderId="3" xfId="0" applyFont="1" applyBorder="1" applyAlignment="1">
      <alignment horizontal="left" wrapText="1" indent="1"/>
    </xf>
    <xf numFmtId="0" fontId="16" fillId="0" borderId="52" xfId="0" applyFont="1" applyBorder="1" applyAlignment="1">
      <alignment vertical="top" wrapText="1"/>
    </xf>
    <xf numFmtId="17" fontId="17" fillId="0" borderId="0" xfId="0" quotePrefix="1" applyNumberFormat="1" applyFont="1" applyAlignment="1">
      <alignment horizontal="center"/>
    </xf>
    <xf numFmtId="0" fontId="16" fillId="0" borderId="50" xfId="0" applyFont="1" applyFill="1" applyBorder="1"/>
    <xf numFmtId="0" fontId="16" fillId="0" borderId="52" xfId="0" applyFont="1" applyFill="1" applyBorder="1"/>
    <xf numFmtId="0" fontId="14" fillId="0" borderId="0" xfId="0" applyFont="1" applyFill="1" applyBorder="1" applyAlignment="1">
      <alignment horizontal="center"/>
    </xf>
    <xf numFmtId="0" fontId="14" fillId="0" borderId="12" xfId="0" applyFont="1" applyBorder="1"/>
    <xf numFmtId="0" fontId="14" fillId="0" borderId="6" xfId="0" applyFont="1" applyBorder="1" applyAlignment="1">
      <alignment horizontal="center"/>
    </xf>
    <xf numFmtId="178" fontId="14" fillId="0" borderId="36" xfId="0" applyNumberFormat="1" applyFont="1" applyBorder="1"/>
    <xf numFmtId="0" fontId="19" fillId="0" borderId="0" xfId="0" applyFont="1" applyAlignment="1">
      <alignment horizontal="right"/>
    </xf>
    <xf numFmtId="167" fontId="14" fillId="0" borderId="0" xfId="1" applyFont="1" applyFill="1" applyBorder="1"/>
    <xf numFmtId="0" fontId="14" fillId="0" borderId="43" xfId="0" applyFont="1" applyBorder="1" applyAlignment="1">
      <alignment horizontal="center" vertical="top" wrapText="1"/>
    </xf>
    <xf numFmtId="171" fontId="14" fillId="0" borderId="0" xfId="6" applyNumberFormat="1" applyFont="1"/>
    <xf numFmtId="168" fontId="14" fillId="0" borderId="0" xfId="1" applyNumberFormat="1" applyFont="1" applyBorder="1" applyAlignment="1">
      <alignment horizontal="left"/>
    </xf>
    <xf numFmtId="172" fontId="14" fillId="0" borderId="0" xfId="1" applyNumberFormat="1" applyFont="1" applyBorder="1"/>
    <xf numFmtId="171" fontId="14" fillId="0" borderId="0" xfId="6" applyNumberFormat="1" applyFont="1" applyBorder="1"/>
    <xf numFmtId="168" fontId="14" fillId="0" borderId="0" xfId="1" applyNumberFormat="1" applyFont="1" applyBorder="1"/>
    <xf numFmtId="171" fontId="14" fillId="0" borderId="1" xfId="0" applyNumberFormat="1" applyFont="1" applyFill="1" applyBorder="1" applyAlignment="1">
      <alignment horizontal="center" vertical="top" wrapText="1"/>
    </xf>
    <xf numFmtId="0" fontId="19" fillId="0" borderId="0" xfId="0" applyFont="1"/>
    <xf numFmtId="169" fontId="19" fillId="0" borderId="0" xfId="1" applyNumberFormat="1" applyFont="1" applyFill="1" applyBorder="1" applyAlignment="1">
      <alignment vertical="top" wrapText="1"/>
    </xf>
    <xf numFmtId="0" fontId="21" fillId="0" borderId="0" xfId="0" applyFont="1"/>
    <xf numFmtId="0" fontId="18" fillId="0" borderId="12" xfId="0" applyFont="1" applyBorder="1" applyAlignment="1">
      <alignment horizontal="left" wrapText="1"/>
    </xf>
    <xf numFmtId="0" fontId="14" fillId="0" borderId="66" xfId="0" applyFont="1" applyBorder="1" applyAlignment="1">
      <alignment horizontal="left" vertical="top" wrapText="1"/>
    </xf>
    <xf numFmtId="0" fontId="14" fillId="0" borderId="45" xfId="0" applyFont="1" applyBorder="1" applyAlignment="1">
      <alignment horizontal="center" vertical="top" wrapText="1"/>
    </xf>
    <xf numFmtId="0" fontId="14" fillId="0" borderId="7" xfId="0" applyFont="1" applyBorder="1" applyAlignment="1">
      <alignment horizontal="center" vertical="top" wrapText="1"/>
    </xf>
    <xf numFmtId="0" fontId="14" fillId="0" borderId="12" xfId="0" applyFont="1" applyBorder="1" applyAlignment="1">
      <alignment horizontal="center" vertical="top" wrapText="1"/>
    </xf>
    <xf numFmtId="0" fontId="14" fillId="0" borderId="6" xfId="0" applyFont="1" applyBorder="1" applyAlignment="1">
      <alignment horizontal="center" vertical="top" wrapText="1"/>
    </xf>
    <xf numFmtId="0" fontId="14" fillId="0" borderId="67" xfId="0" applyFont="1" applyBorder="1" applyAlignment="1">
      <alignment horizontal="left" vertical="top" wrapText="1"/>
    </xf>
    <xf numFmtId="171" fontId="14" fillId="0" borderId="47" xfId="6" applyNumberFormat="1" applyFont="1" applyFill="1" applyBorder="1" applyAlignment="1">
      <alignment horizontal="center" vertical="top" wrapText="1"/>
    </xf>
    <xf numFmtId="171" fontId="14" fillId="0" borderId="42" xfId="6" applyNumberFormat="1" applyFont="1" applyFill="1" applyBorder="1" applyAlignment="1">
      <alignment horizontal="center" vertical="top" wrapText="1"/>
    </xf>
    <xf numFmtId="171" fontId="14" fillId="0" borderId="8" xfId="6" applyNumberFormat="1" applyFont="1" applyFill="1" applyBorder="1" applyAlignment="1">
      <alignment horizontal="center" vertical="top" wrapText="1"/>
    </xf>
    <xf numFmtId="171" fontId="14" fillId="0" borderId="3" xfId="6" applyNumberFormat="1" applyFont="1" applyFill="1" applyBorder="1" applyAlignment="1">
      <alignment horizontal="center" vertical="top" wrapText="1"/>
    </xf>
    <xf numFmtId="171" fontId="14" fillId="0" borderId="0" xfId="6" applyNumberFormat="1" applyFont="1" applyFill="1" applyBorder="1" applyAlignment="1">
      <alignment horizontal="center" vertical="top" wrapText="1"/>
    </xf>
    <xf numFmtId="0" fontId="14" fillId="0" borderId="3" xfId="0" applyFont="1" applyBorder="1" applyAlignment="1">
      <alignment horizontal="left" vertical="top" wrapText="1" indent="1"/>
    </xf>
    <xf numFmtId="0" fontId="14" fillId="0" borderId="47" xfId="6" applyNumberFormat="1" applyFont="1" applyFill="1" applyBorder="1" applyAlignment="1">
      <alignment horizontal="center" vertical="top" wrapText="1"/>
    </xf>
    <xf numFmtId="0" fontId="14" fillId="0" borderId="42" xfId="6" applyNumberFormat="1" applyFont="1" applyFill="1" applyBorder="1" applyAlignment="1">
      <alignment horizontal="center" vertical="top" wrapText="1"/>
    </xf>
    <xf numFmtId="0" fontId="14" fillId="0" borderId="8" xfId="6" applyNumberFormat="1" applyFont="1" applyFill="1" applyBorder="1" applyAlignment="1">
      <alignment horizontal="center" vertical="top" wrapText="1"/>
    </xf>
    <xf numFmtId="0" fontId="18" fillId="0" borderId="3" xfId="0" applyFont="1" applyBorder="1" applyAlignment="1">
      <alignment horizontal="left" wrapText="1"/>
    </xf>
    <xf numFmtId="0" fontId="14" fillId="0" borderId="47" xfId="0" applyFont="1" applyFill="1" applyBorder="1" applyAlignment="1">
      <alignment horizontal="center" vertical="top" wrapText="1"/>
    </xf>
    <xf numFmtId="0" fontId="14" fillId="0" borderId="42" xfId="0" applyFont="1" applyFill="1" applyBorder="1" applyAlignment="1">
      <alignment horizontal="center" vertical="top" wrapText="1"/>
    </xf>
    <xf numFmtId="0" fontId="14" fillId="0" borderId="8" xfId="0" applyFont="1" applyFill="1" applyBorder="1" applyAlignment="1">
      <alignment horizontal="center" vertical="top" wrapText="1"/>
    </xf>
    <xf numFmtId="0" fontId="14" fillId="0" borderId="3" xfId="0" applyFont="1" applyFill="1" applyBorder="1" applyAlignment="1">
      <alignment horizontal="center" vertical="top" wrapText="1"/>
    </xf>
    <xf numFmtId="0" fontId="14" fillId="0" borderId="0" xfId="0" applyFont="1" applyFill="1" applyBorder="1" applyAlignment="1">
      <alignment horizontal="center" vertical="top" wrapText="1"/>
    </xf>
    <xf numFmtId="180" fontId="14" fillId="0" borderId="47" xfId="1" applyNumberFormat="1" applyFont="1" applyFill="1" applyBorder="1" applyAlignment="1">
      <alignment vertical="top" wrapText="1"/>
    </xf>
    <xf numFmtId="180" fontId="14" fillId="0" borderId="42" xfId="1" applyNumberFormat="1" applyFont="1" applyFill="1" applyBorder="1" applyAlignment="1">
      <alignment vertical="top" wrapText="1"/>
    </xf>
    <xf numFmtId="180" fontId="14" fillId="0" borderId="8" xfId="1" applyNumberFormat="1" applyFont="1" applyFill="1" applyBorder="1" applyAlignment="1">
      <alignment vertical="top" wrapText="1"/>
    </xf>
    <xf numFmtId="180" fontId="14" fillId="0" borderId="3" xfId="1" applyNumberFormat="1" applyFont="1" applyFill="1" applyBorder="1" applyAlignment="1">
      <alignment vertical="top" wrapText="1"/>
    </xf>
    <xf numFmtId="180" fontId="14" fillId="0" borderId="0" xfId="1" applyNumberFormat="1" applyFont="1" applyFill="1" applyBorder="1" applyAlignment="1">
      <alignment vertical="top" wrapText="1"/>
    </xf>
    <xf numFmtId="180" fontId="14" fillId="0" borderId="47" xfId="0" applyNumberFormat="1" applyFont="1" applyFill="1" applyBorder="1" applyAlignment="1">
      <alignment horizontal="center" vertical="top" wrapText="1"/>
    </xf>
    <xf numFmtId="180" fontId="14" fillId="0" borderId="42" xfId="0" applyNumberFormat="1" applyFont="1" applyFill="1" applyBorder="1" applyAlignment="1">
      <alignment horizontal="center" vertical="top" wrapText="1"/>
    </xf>
    <xf numFmtId="180" fontId="14" fillId="0" borderId="8" xfId="0" applyNumberFormat="1" applyFont="1" applyFill="1" applyBorder="1" applyAlignment="1">
      <alignment horizontal="center" vertical="top" wrapText="1"/>
    </xf>
    <xf numFmtId="180" fontId="14" fillId="0" borderId="3" xfId="0" applyNumberFormat="1" applyFont="1" applyFill="1" applyBorder="1" applyAlignment="1">
      <alignment horizontal="center" vertical="top" wrapText="1"/>
    </xf>
    <xf numFmtId="180" fontId="14" fillId="0" borderId="0" xfId="0" applyNumberFormat="1" applyFont="1" applyFill="1" applyBorder="1" applyAlignment="1">
      <alignment horizontal="center" vertical="top" wrapText="1"/>
    </xf>
    <xf numFmtId="171" fontId="14" fillId="0" borderId="47" xfId="0" applyNumberFormat="1" applyFont="1" applyFill="1" applyBorder="1" applyAlignment="1">
      <alignment horizontal="center" vertical="top" wrapText="1"/>
    </xf>
    <xf numFmtId="171" fontId="14" fillId="0" borderId="42" xfId="0" applyNumberFormat="1" applyFont="1" applyFill="1" applyBorder="1" applyAlignment="1">
      <alignment horizontal="center" vertical="top" wrapText="1"/>
    </xf>
    <xf numFmtId="171" fontId="14" fillId="0" borderId="8" xfId="0" applyNumberFormat="1" applyFont="1" applyFill="1" applyBorder="1" applyAlignment="1">
      <alignment horizontal="center" vertical="top" wrapText="1"/>
    </xf>
    <xf numFmtId="171" fontId="14" fillId="0" borderId="3" xfId="0" applyNumberFormat="1" applyFont="1" applyFill="1" applyBorder="1" applyAlignment="1">
      <alignment horizontal="center" vertical="top" wrapText="1"/>
    </xf>
    <xf numFmtId="171" fontId="14" fillId="0" borderId="0" xfId="0" applyNumberFormat="1" applyFont="1" applyFill="1" applyBorder="1" applyAlignment="1">
      <alignment horizontal="center" vertical="top" wrapText="1"/>
    </xf>
    <xf numFmtId="0" fontId="18" fillId="0" borderId="3" xfId="0" applyFont="1" applyBorder="1" applyAlignment="1">
      <alignment horizontal="left" vertical="top" wrapText="1"/>
    </xf>
    <xf numFmtId="0" fontId="18" fillId="0" borderId="67" xfId="0" applyFont="1" applyBorder="1" applyAlignment="1">
      <alignment horizontal="left" vertical="top" wrapText="1"/>
    </xf>
    <xf numFmtId="9" fontId="14" fillId="0" borderId="47" xfId="0" applyNumberFormat="1" applyFont="1" applyFill="1" applyBorder="1" applyAlignment="1">
      <alignment horizontal="center" vertical="top" wrapText="1"/>
    </xf>
    <xf numFmtId="9" fontId="14" fillId="0" borderId="42" xfId="0" applyNumberFormat="1" applyFont="1" applyFill="1" applyBorder="1" applyAlignment="1">
      <alignment horizontal="center" vertical="top" wrapText="1"/>
    </xf>
    <xf numFmtId="9" fontId="14" fillId="0" borderId="8" xfId="0" applyNumberFormat="1" applyFont="1" applyFill="1" applyBorder="1" applyAlignment="1">
      <alignment horizontal="center" vertical="top" wrapText="1"/>
    </xf>
    <xf numFmtId="9" fontId="14" fillId="0" borderId="3" xfId="0" applyNumberFormat="1" applyFont="1" applyFill="1" applyBorder="1" applyAlignment="1">
      <alignment horizontal="center" vertical="top" wrapText="1"/>
    </xf>
    <xf numFmtId="9" fontId="14" fillId="0" borderId="0" xfId="0" applyNumberFormat="1" applyFont="1" applyFill="1" applyBorder="1" applyAlignment="1">
      <alignment horizontal="center" vertical="top" wrapText="1"/>
    </xf>
    <xf numFmtId="0" fontId="14" fillId="0" borderId="68" xfId="0" applyFont="1" applyBorder="1" applyAlignment="1">
      <alignment horizontal="left" vertical="top" wrapText="1" indent="1"/>
    </xf>
    <xf numFmtId="0" fontId="14" fillId="0" borderId="69" xfId="0" applyFont="1" applyBorder="1" applyAlignment="1">
      <alignment horizontal="left" vertical="top" wrapText="1"/>
    </xf>
    <xf numFmtId="180" fontId="14" fillId="0" borderId="70" xfId="1" applyNumberFormat="1" applyFont="1" applyFill="1" applyBorder="1" applyAlignment="1">
      <alignment vertical="top" wrapText="1"/>
    </xf>
    <xf numFmtId="180" fontId="14" fillId="0" borderId="71" xfId="1" applyNumberFormat="1" applyFont="1" applyFill="1" applyBorder="1" applyAlignment="1">
      <alignment vertical="top" wrapText="1"/>
    </xf>
    <xf numFmtId="180" fontId="14" fillId="0" borderId="72" xfId="1" applyNumberFormat="1" applyFont="1" applyFill="1" applyBorder="1" applyAlignment="1">
      <alignment vertical="top" wrapText="1"/>
    </xf>
    <xf numFmtId="180" fontId="14" fillId="0" borderId="68" xfId="1" applyNumberFormat="1" applyFont="1" applyFill="1" applyBorder="1" applyAlignment="1">
      <alignment vertical="top" wrapText="1"/>
    </xf>
    <xf numFmtId="180" fontId="14" fillId="0" borderId="73" xfId="1" applyNumberFormat="1" applyFont="1" applyFill="1" applyBorder="1" applyAlignment="1">
      <alignment vertical="top" wrapText="1"/>
    </xf>
    <xf numFmtId="172" fontId="14" fillId="0" borderId="3" xfId="0" applyNumberFormat="1" applyFont="1" applyFill="1" applyBorder="1"/>
    <xf numFmtId="172" fontId="14" fillId="0" borderId="42" xfId="0" applyNumberFormat="1" applyFont="1" applyFill="1" applyBorder="1"/>
    <xf numFmtId="171" fontId="14" fillId="0" borderId="0" xfId="0" applyNumberFormat="1" applyFont="1" applyFill="1" applyAlignment="1">
      <alignment horizontal="center"/>
    </xf>
    <xf numFmtId="0" fontId="16" fillId="0" borderId="74" xfId="0" applyFont="1" applyFill="1" applyBorder="1" applyAlignment="1">
      <alignment horizontal="center" vertical="top" wrapText="1"/>
    </xf>
    <xf numFmtId="0" fontId="14" fillId="0" borderId="3" xfId="0" applyNumberFormat="1" applyFont="1" applyBorder="1" applyAlignment="1">
      <alignment horizontal="left" vertical="top" wrapText="1" indent="1"/>
    </xf>
    <xf numFmtId="168" fontId="14" fillId="0" borderId="76" xfId="1" applyNumberFormat="1" applyFont="1" applyFill="1" applyBorder="1" applyAlignment="1">
      <alignment horizontal="left" vertical="top" wrapText="1"/>
    </xf>
    <xf numFmtId="0" fontId="18" fillId="0" borderId="3" xfId="0" applyNumberFormat="1" applyFont="1" applyBorder="1" applyAlignment="1">
      <alignment horizontal="left" wrapText="1"/>
    </xf>
    <xf numFmtId="179" fontId="14" fillId="0" borderId="76" xfId="1" applyNumberFormat="1" applyFont="1" applyFill="1" applyBorder="1" applyAlignment="1">
      <alignment horizontal="left" vertical="top" wrapText="1"/>
    </xf>
    <xf numFmtId="9" fontId="14" fillId="0" borderId="1" xfId="0" applyNumberFormat="1" applyFont="1" applyFill="1" applyBorder="1" applyAlignment="1">
      <alignment horizontal="center" vertical="top" wrapText="1"/>
    </xf>
    <xf numFmtId="169" fontId="14" fillId="0" borderId="5" xfId="1" applyNumberFormat="1" applyFont="1" applyFill="1" applyBorder="1" applyAlignment="1">
      <alignment vertical="top" wrapText="1"/>
    </xf>
    <xf numFmtId="169" fontId="14" fillId="0" borderId="9" xfId="1" applyNumberFormat="1" applyFont="1" applyFill="1" applyBorder="1" applyAlignment="1">
      <alignment vertical="top" wrapText="1"/>
    </xf>
    <xf numFmtId="169" fontId="14" fillId="0" borderId="36" xfId="1" applyNumberFormat="1" applyFont="1" applyFill="1" applyBorder="1" applyAlignment="1">
      <alignment vertical="top" wrapText="1"/>
    </xf>
    <xf numFmtId="169" fontId="14" fillId="0" borderId="10" xfId="1" applyNumberFormat="1" applyFont="1" applyFill="1" applyBorder="1" applyAlignment="1">
      <alignment vertical="top" wrapText="1"/>
    </xf>
    <xf numFmtId="0" fontId="18" fillId="0" borderId="66" xfId="0" applyFont="1" applyBorder="1" applyAlignment="1">
      <alignment horizontal="center"/>
    </xf>
    <xf numFmtId="0" fontId="18" fillId="0" borderId="42" xfId="0" applyFont="1" applyBorder="1" applyAlignment="1">
      <alignment horizontal="center"/>
    </xf>
    <xf numFmtId="0" fontId="14" fillId="0" borderId="66" xfId="0" applyFont="1" applyBorder="1"/>
    <xf numFmtId="0" fontId="14" fillId="0" borderId="75" xfId="0" applyFont="1" applyBorder="1"/>
    <xf numFmtId="0" fontId="14" fillId="0" borderId="45" xfId="0" applyFont="1" applyBorder="1"/>
    <xf numFmtId="0" fontId="14" fillId="0" borderId="67" xfId="0" applyFont="1" applyBorder="1" applyAlignment="1">
      <alignment horizontal="center"/>
    </xf>
    <xf numFmtId="178" fontId="14" fillId="0" borderId="67" xfId="0" applyNumberFormat="1" applyFont="1" applyFill="1" applyBorder="1"/>
    <xf numFmtId="178" fontId="14" fillId="0" borderId="76" xfId="0" applyNumberFormat="1" applyFont="1" applyFill="1" applyBorder="1"/>
    <xf numFmtId="180" fontId="14" fillId="0" borderId="0" xfId="1" applyNumberFormat="1" applyFont="1" applyFill="1" applyBorder="1" applyAlignment="1"/>
    <xf numFmtId="180" fontId="14" fillId="0" borderId="67" xfId="1" applyNumberFormat="1" applyFont="1" applyFill="1" applyBorder="1" applyAlignment="1"/>
    <xf numFmtId="180" fontId="14" fillId="0" borderId="76" xfId="1" applyNumberFormat="1" applyFont="1" applyFill="1" applyBorder="1" applyAlignment="1"/>
    <xf numFmtId="180" fontId="14" fillId="0" borderId="3" xfId="1" applyNumberFormat="1" applyFont="1" applyFill="1" applyBorder="1" applyAlignment="1"/>
    <xf numFmtId="180" fontId="14" fillId="0" borderId="47" xfId="1" applyNumberFormat="1" applyFont="1" applyFill="1" applyBorder="1" applyAlignment="1"/>
    <xf numFmtId="0" fontId="14" fillId="0" borderId="67" xfId="0" applyFont="1" applyFill="1" applyBorder="1" applyAlignment="1">
      <alignment horizontal="center"/>
    </xf>
    <xf numFmtId="174" fontId="14" fillId="0" borderId="67" xfId="0" applyNumberFormat="1" applyFont="1" applyFill="1" applyBorder="1" applyAlignment="1">
      <alignment horizontal="center"/>
    </xf>
    <xf numFmtId="174" fontId="14" fillId="0" borderId="76" xfId="6" applyNumberFormat="1" applyFont="1" applyFill="1" applyBorder="1" applyAlignment="1">
      <alignment horizontal="center"/>
    </xf>
    <xf numFmtId="174" fontId="14" fillId="0" borderId="3" xfId="6" applyNumberFormat="1" applyFont="1" applyFill="1" applyBorder="1" applyAlignment="1">
      <alignment horizontal="center"/>
    </xf>
    <xf numFmtId="174" fontId="14" fillId="0" borderId="67" xfId="6" applyNumberFormat="1" applyFont="1" applyFill="1" applyBorder="1" applyAlignment="1">
      <alignment horizontal="center"/>
    </xf>
    <xf numFmtId="174" fontId="14" fillId="0" borderId="0" xfId="6" applyNumberFormat="1" applyFont="1" applyFill="1" applyBorder="1" applyAlignment="1">
      <alignment horizontal="center"/>
    </xf>
    <xf numFmtId="174" fontId="14" fillId="0" borderId="47" xfId="6" applyNumberFormat="1" applyFont="1" applyFill="1" applyBorder="1" applyAlignment="1">
      <alignment horizontal="center"/>
    </xf>
    <xf numFmtId="9" fontId="14" fillId="0" borderId="67" xfId="6" applyFont="1" applyBorder="1" applyAlignment="1">
      <alignment horizontal="center"/>
    </xf>
    <xf numFmtId="9" fontId="14" fillId="0" borderId="37" xfId="6" applyFont="1" applyBorder="1" applyAlignment="1">
      <alignment horizontal="center"/>
    </xf>
    <xf numFmtId="9" fontId="14" fillId="0" borderId="36" xfId="6" applyFont="1" applyBorder="1" applyAlignment="1">
      <alignment horizontal="center"/>
    </xf>
    <xf numFmtId="9" fontId="14" fillId="0" borderId="9" xfId="6" applyFont="1" applyBorder="1" applyAlignment="1">
      <alignment horizontal="center"/>
    </xf>
    <xf numFmtId="9" fontId="14" fillId="0" borderId="77" xfId="6" applyFont="1" applyBorder="1" applyAlignment="1">
      <alignment horizontal="center"/>
    </xf>
    <xf numFmtId="9" fontId="14" fillId="0" borderId="4" xfId="6" applyFont="1" applyBorder="1" applyAlignment="1">
      <alignment horizontal="center"/>
    </xf>
    <xf numFmtId="9" fontId="14" fillId="0" borderId="64" xfId="6" applyFont="1" applyBorder="1" applyAlignment="1">
      <alignment horizontal="center"/>
    </xf>
    <xf numFmtId="9" fontId="14" fillId="0" borderId="6" xfId="6" applyFont="1" applyBorder="1" applyAlignment="1">
      <alignment horizontal="center"/>
    </xf>
    <xf numFmtId="9" fontId="14" fillId="0" borderId="0" xfId="6" applyFont="1" applyBorder="1" applyAlignment="1">
      <alignment horizontal="center"/>
    </xf>
    <xf numFmtId="0" fontId="18" fillId="0" borderId="1" xfId="0" applyFont="1" applyBorder="1" applyAlignment="1">
      <alignment horizontal="left"/>
    </xf>
    <xf numFmtId="0" fontId="14" fillId="0" borderId="1" xfId="0" applyFont="1" applyBorder="1" applyAlignment="1"/>
    <xf numFmtId="0" fontId="14" fillId="0" borderId="8" xfId="0" applyFont="1" applyBorder="1" applyAlignment="1">
      <alignment horizontal="center"/>
    </xf>
    <xf numFmtId="174" fontId="14" fillId="0" borderId="1" xfId="6" applyNumberFormat="1" applyFont="1" applyFill="1" applyBorder="1" applyAlignment="1">
      <alignment horizontal="center"/>
    </xf>
    <xf numFmtId="174" fontId="14" fillId="0" borderId="8" xfId="6" applyNumberFormat="1" applyFont="1" applyFill="1" applyBorder="1" applyAlignment="1">
      <alignment horizontal="center"/>
    </xf>
    <xf numFmtId="178" fontId="14" fillId="0" borderId="1" xfId="0" applyNumberFormat="1" applyFont="1" applyBorder="1"/>
    <xf numFmtId="0" fontId="14" fillId="0" borderId="1" xfId="0" applyFont="1" applyBorder="1" applyAlignment="1">
      <alignment horizontal="left"/>
    </xf>
    <xf numFmtId="9" fontId="14" fillId="0" borderId="8" xfId="0" applyNumberFormat="1" applyFont="1" applyBorder="1" applyAlignment="1">
      <alignment horizontal="center"/>
    </xf>
    <xf numFmtId="0" fontId="14" fillId="0" borderId="32" xfId="0" applyFont="1" applyBorder="1" applyAlignment="1">
      <alignment horizontal="left"/>
    </xf>
    <xf numFmtId="0" fontId="14" fillId="0" borderId="78" xfId="0" applyFont="1" applyBorder="1" applyAlignment="1">
      <alignment horizontal="center"/>
    </xf>
    <xf numFmtId="0" fontId="18" fillId="0" borderId="0" xfId="0" applyFont="1"/>
    <xf numFmtId="178" fontId="14" fillId="0" borderId="0" xfId="0" applyNumberFormat="1" applyFont="1" applyAlignment="1">
      <alignment horizontal="center"/>
    </xf>
    <xf numFmtId="0" fontId="14" fillId="0" borderId="66" xfId="0" applyFont="1" applyBorder="1" applyAlignment="1">
      <alignment horizontal="center"/>
    </xf>
    <xf numFmtId="172" fontId="16" fillId="0" borderId="43" xfId="0" applyNumberFormat="1" applyFont="1" applyBorder="1"/>
    <xf numFmtId="172" fontId="16" fillId="0" borderId="3" xfId="0" applyNumberFormat="1" applyFont="1" applyBorder="1"/>
    <xf numFmtId="0" fontId="16" fillId="0" borderId="42" xfId="0" applyNumberFormat="1" applyFont="1" applyFill="1" applyBorder="1" applyAlignment="1">
      <alignment horizontal="center"/>
    </xf>
    <xf numFmtId="0" fontId="14" fillId="0" borderId="67" xfId="0" quotePrefix="1" applyFont="1" applyBorder="1" applyAlignment="1">
      <alignment horizontal="center"/>
    </xf>
    <xf numFmtId="0" fontId="14" fillId="0" borderId="67" xfId="0" quotePrefix="1" applyFont="1" applyFill="1" applyBorder="1" applyAlignment="1">
      <alignment horizontal="center"/>
    </xf>
    <xf numFmtId="168" fontId="14" fillId="0" borderId="42" xfId="1" applyNumberFormat="1" applyFont="1" applyFill="1" applyBorder="1"/>
    <xf numFmtId="168" fontId="14" fillId="0" borderId="8" xfId="1" applyNumberFormat="1" applyFont="1" applyFill="1" applyBorder="1"/>
    <xf numFmtId="168" fontId="14" fillId="0" borderId="3" xfId="1" applyNumberFormat="1" applyFont="1" applyFill="1" applyBorder="1"/>
    <xf numFmtId="168" fontId="14" fillId="0" borderId="76" xfId="1" applyNumberFormat="1" applyFont="1" applyFill="1" applyBorder="1"/>
    <xf numFmtId="168" fontId="14" fillId="0" borderId="0" xfId="1" applyNumberFormat="1" applyFont="1" applyFill="1" applyBorder="1"/>
    <xf numFmtId="177" fontId="16" fillId="0" borderId="46" xfId="1" applyNumberFormat="1" applyFont="1" applyFill="1" applyBorder="1"/>
    <xf numFmtId="177" fontId="16" fillId="0" borderId="49" xfId="1" applyNumberFormat="1" applyFont="1" applyFill="1" applyBorder="1"/>
    <xf numFmtId="177" fontId="16" fillId="0" borderId="50" xfId="1" applyNumberFormat="1" applyFont="1" applyFill="1" applyBorder="1"/>
    <xf numFmtId="177" fontId="16" fillId="0" borderId="79" xfId="1" applyNumberFormat="1" applyFont="1" applyFill="1" applyBorder="1"/>
    <xf numFmtId="177" fontId="16" fillId="0" borderId="48" xfId="1" applyNumberFormat="1" applyFont="1" applyFill="1" applyBorder="1"/>
    <xf numFmtId="177" fontId="16" fillId="0" borderId="46" xfId="0" applyNumberFormat="1" applyFont="1" applyFill="1" applyBorder="1"/>
    <xf numFmtId="177" fontId="16" fillId="0" borderId="49" xfId="0" applyNumberFormat="1" applyFont="1" applyFill="1" applyBorder="1"/>
    <xf numFmtId="177" fontId="14" fillId="0" borderId="0" xfId="0" applyNumberFormat="1" applyFont="1" applyFill="1" applyBorder="1"/>
    <xf numFmtId="177" fontId="16" fillId="0" borderId="42" xfId="0" applyNumberFormat="1" applyFont="1" applyFill="1" applyBorder="1"/>
    <xf numFmtId="177" fontId="16" fillId="0" borderId="8" xfId="0" applyNumberFormat="1" applyFont="1" applyFill="1" applyBorder="1"/>
    <xf numFmtId="0" fontId="18" fillId="0" borderId="50" xfId="0" applyFont="1" applyBorder="1"/>
    <xf numFmtId="0" fontId="14" fillId="0" borderId="80" xfId="0" applyFont="1" applyBorder="1" applyAlignment="1">
      <alignment horizontal="center"/>
    </xf>
    <xf numFmtId="172" fontId="14" fillId="0" borderId="46" xfId="0" applyNumberFormat="1" applyFont="1" applyFill="1" applyBorder="1"/>
    <xf numFmtId="172" fontId="14" fillId="0" borderId="49" xfId="0" applyNumberFormat="1" applyFont="1" applyFill="1" applyBorder="1"/>
    <xf numFmtId="172" fontId="14" fillId="0" borderId="50" xfId="0" applyNumberFormat="1" applyFont="1" applyFill="1" applyBorder="1"/>
    <xf numFmtId="172" fontId="14" fillId="0" borderId="79" xfId="0" applyNumberFormat="1" applyFont="1" applyFill="1" applyBorder="1"/>
    <xf numFmtId="172" fontId="14" fillId="0" borderId="48" xfId="0" applyNumberFormat="1" applyFont="1" applyFill="1" applyBorder="1"/>
    <xf numFmtId="0" fontId="14" fillId="0" borderId="0" xfId="1" applyNumberFormat="1" applyFont="1" applyFill="1" applyBorder="1" applyAlignment="1">
      <alignment horizontal="center"/>
    </xf>
    <xf numFmtId="174" fontId="14" fillId="0" borderId="42" xfId="0" applyNumberFormat="1" applyFont="1" applyFill="1" applyBorder="1" applyAlignment="1">
      <alignment horizontal="center"/>
    </xf>
    <xf numFmtId="174" fontId="14" fillId="0" borderId="42" xfId="6" applyNumberFormat="1" applyFont="1" applyFill="1" applyBorder="1" applyAlignment="1">
      <alignment horizontal="center"/>
    </xf>
    <xf numFmtId="178" fontId="16" fillId="0" borderId="76" xfId="0" applyNumberFormat="1" applyFont="1" applyFill="1" applyBorder="1"/>
    <xf numFmtId="0" fontId="14" fillId="0" borderId="37" xfId="0" applyFont="1" applyBorder="1" applyAlignment="1">
      <alignment horizontal="center"/>
    </xf>
    <xf numFmtId="172" fontId="14" fillId="0" borderId="36" xfId="0" applyNumberFormat="1" applyFont="1" applyBorder="1"/>
    <xf numFmtId="172" fontId="14" fillId="0" borderId="10" xfId="0" applyNumberFormat="1" applyFont="1" applyBorder="1"/>
    <xf numFmtId="172" fontId="14" fillId="0" borderId="4" xfId="0" applyNumberFormat="1" applyFont="1" applyBorder="1"/>
    <xf numFmtId="172" fontId="14" fillId="0" borderId="36" xfId="0" applyNumberFormat="1" applyFont="1" applyFill="1" applyBorder="1"/>
    <xf numFmtId="172" fontId="14" fillId="0" borderId="77" xfId="0" applyNumberFormat="1" applyFont="1" applyFill="1" applyBorder="1"/>
    <xf numFmtId="172" fontId="14" fillId="0" borderId="9" xfId="0" applyNumberFormat="1" applyFont="1" applyBorder="1"/>
    <xf numFmtId="0" fontId="16" fillId="0" borderId="43" xfId="0" applyFont="1" applyFill="1" applyBorder="1" applyAlignment="1">
      <alignment horizontal="center" vertical="center" wrapText="1"/>
    </xf>
    <xf numFmtId="0" fontId="11" fillId="0" borderId="9" xfId="0" applyNumberFormat="1" applyFont="1" applyFill="1" applyBorder="1" applyAlignment="1">
      <alignment horizontal="left"/>
    </xf>
    <xf numFmtId="0" fontId="16" fillId="0" borderId="17" xfId="0" applyFont="1" applyFill="1" applyBorder="1" applyAlignment="1">
      <alignment horizontal="center" vertical="center"/>
    </xf>
    <xf numFmtId="0" fontId="16" fillId="0" borderId="74" xfId="0" applyNumberFormat="1" applyFont="1" applyFill="1" applyBorder="1" applyAlignment="1">
      <alignment horizontal="center" vertical="center"/>
    </xf>
    <xf numFmtId="0" fontId="16" fillId="0" borderId="81" xfId="0" applyFont="1" applyFill="1" applyBorder="1" applyAlignment="1">
      <alignment horizontal="center" vertical="top" wrapText="1"/>
    </xf>
    <xf numFmtId="172" fontId="16" fillId="0" borderId="42" xfId="0" applyNumberFormat="1" applyFont="1" applyFill="1" applyBorder="1"/>
    <xf numFmtId="172" fontId="16" fillId="0" borderId="76" xfId="0" applyNumberFormat="1" applyFont="1" applyFill="1" applyBorder="1"/>
    <xf numFmtId="0" fontId="14" fillId="0" borderId="42" xfId="0" quotePrefix="1" applyNumberFormat="1" applyFont="1" applyBorder="1" applyAlignment="1">
      <alignment horizontal="center"/>
    </xf>
    <xf numFmtId="177" fontId="14" fillId="0" borderId="46" xfId="1" applyNumberFormat="1" applyFont="1" applyFill="1" applyBorder="1"/>
    <xf numFmtId="177" fontId="14" fillId="0" borderId="79" xfId="1" applyNumberFormat="1" applyFont="1" applyFill="1" applyBorder="1"/>
    <xf numFmtId="0" fontId="18" fillId="0" borderId="50" xfId="0" applyNumberFormat="1" applyFont="1" applyBorder="1"/>
    <xf numFmtId="0" fontId="16" fillId="0" borderId="46" xfId="0" applyNumberFormat="1" applyFont="1" applyBorder="1" applyAlignment="1">
      <alignment horizontal="center"/>
    </xf>
    <xf numFmtId="173" fontId="16" fillId="0" borderId="46" xfId="0" applyNumberFormat="1" applyFont="1" applyFill="1" applyBorder="1"/>
    <xf numFmtId="173" fontId="16" fillId="0" borderId="79" xfId="0" applyNumberFormat="1" applyFont="1" applyFill="1" applyBorder="1"/>
    <xf numFmtId="0" fontId="14" fillId="0" borderId="42" xfId="0" quotePrefix="1" applyNumberFormat="1" applyFont="1" applyFill="1" applyBorder="1" applyAlignment="1">
      <alignment horizontal="center"/>
    </xf>
    <xf numFmtId="178" fontId="14" fillId="0" borderId="34" xfId="0" applyNumberFormat="1" applyFont="1" applyBorder="1"/>
    <xf numFmtId="178" fontId="14" fillId="0" borderId="46" xfId="1" applyNumberFormat="1" applyFont="1" applyFill="1" applyBorder="1"/>
    <xf numFmtId="178" fontId="14" fillId="0" borderId="79" xfId="1" applyNumberFormat="1" applyFont="1" applyFill="1" applyBorder="1"/>
    <xf numFmtId="0" fontId="16" fillId="0" borderId="3" xfId="0" applyNumberFormat="1" applyFont="1" applyFill="1" applyBorder="1"/>
    <xf numFmtId="0" fontId="14" fillId="0" borderId="4" xfId="0" applyNumberFormat="1" applyFont="1" applyFill="1" applyBorder="1"/>
    <xf numFmtId="0" fontId="14" fillId="0" borderId="0" xfId="0" applyNumberFormat="1" applyFont="1" applyBorder="1" applyAlignment="1">
      <alignment horizontal="center"/>
    </xf>
    <xf numFmtId="0" fontId="14" fillId="0" borderId="0" xfId="0" applyNumberFormat="1" applyFont="1" applyBorder="1"/>
    <xf numFmtId="0" fontId="14" fillId="0" borderId="0" xfId="0" applyNumberFormat="1" applyFont="1" applyAlignment="1">
      <alignment horizontal="center"/>
    </xf>
    <xf numFmtId="0" fontId="16" fillId="0" borderId="12" xfId="0" applyFont="1" applyFill="1" applyBorder="1" applyAlignment="1">
      <alignment horizontal="centerContinuous" vertical="center" wrapText="1"/>
    </xf>
    <xf numFmtId="0" fontId="16" fillId="0" borderId="39" xfId="0" applyFont="1" applyFill="1" applyBorder="1" applyAlignment="1">
      <alignment horizontal="centerContinuous" vertical="center" wrapText="1"/>
    </xf>
    <xf numFmtId="0" fontId="16" fillId="0" borderId="40" xfId="0" applyFont="1" applyFill="1" applyBorder="1" applyAlignment="1">
      <alignment horizontal="centerContinuous" vertical="center" wrapText="1"/>
    </xf>
    <xf numFmtId="0" fontId="16" fillId="0" borderId="82" xfId="0" applyFont="1" applyFill="1" applyBorder="1" applyAlignment="1">
      <alignment horizontal="centerContinuous" vertical="center" wrapText="1"/>
    </xf>
    <xf numFmtId="0" fontId="16" fillId="0" borderId="11" xfId="0" applyFont="1" applyFill="1" applyBorder="1" applyAlignment="1">
      <alignment horizontal="center" vertical="center" wrapText="1"/>
    </xf>
    <xf numFmtId="0" fontId="16" fillId="0" borderId="46" xfId="0" applyFont="1" applyFill="1" applyBorder="1" applyAlignment="1">
      <alignment horizontal="center" vertical="center" wrapText="1"/>
    </xf>
    <xf numFmtId="0" fontId="14" fillId="0" borderId="43" xfId="0" applyNumberFormat="1" applyFont="1" applyBorder="1" applyAlignment="1">
      <alignment horizontal="center" vertical="top" wrapText="1"/>
    </xf>
    <xf numFmtId="182" fontId="14" fillId="0" borderId="43" xfId="0" applyNumberFormat="1" applyFont="1" applyBorder="1" applyAlignment="1">
      <alignment vertical="top" wrapText="1"/>
    </xf>
    <xf numFmtId="182" fontId="14" fillId="0" borderId="7" xfId="0" applyNumberFormat="1" applyFont="1" applyBorder="1" applyAlignment="1">
      <alignment vertical="top" wrapText="1"/>
    </xf>
    <xf numFmtId="182" fontId="14" fillId="0" borderId="12" xfId="0" applyNumberFormat="1" applyFont="1" applyBorder="1" applyAlignment="1">
      <alignment vertical="top" wrapText="1"/>
    </xf>
    <xf numFmtId="182" fontId="14" fillId="0" borderId="6" xfId="0" applyNumberFormat="1" applyFont="1" applyBorder="1" applyAlignment="1">
      <alignment vertical="top" wrapText="1"/>
    </xf>
    <xf numFmtId="183" fontId="14" fillId="0" borderId="11" xfId="0" applyNumberFormat="1" applyFont="1" applyBorder="1" applyAlignment="1">
      <alignment vertical="top" wrapText="1"/>
    </xf>
    <xf numFmtId="0" fontId="14" fillId="0" borderId="42" xfId="0" applyNumberFormat="1" applyFont="1" applyBorder="1" applyAlignment="1">
      <alignment horizontal="center" vertical="top" wrapText="1"/>
    </xf>
    <xf numFmtId="182" fontId="14" fillId="0" borderId="42" xfId="1" applyNumberFormat="1" applyFont="1" applyBorder="1" applyAlignment="1">
      <alignment vertical="top" wrapText="1"/>
    </xf>
    <xf numFmtId="182" fontId="14" fillId="0" borderId="8" xfId="1" applyNumberFormat="1" applyFont="1" applyBorder="1" applyAlignment="1">
      <alignment vertical="top" wrapText="1"/>
    </xf>
    <xf numFmtId="182" fontId="14" fillId="0" borderId="3" xfId="1" applyNumberFormat="1" applyFont="1" applyBorder="1" applyAlignment="1">
      <alignment vertical="top" wrapText="1"/>
    </xf>
    <xf numFmtId="182" fontId="14" fillId="0" borderId="0" xfId="1" applyNumberFormat="1" applyFont="1" applyBorder="1" applyAlignment="1">
      <alignment vertical="top" wrapText="1"/>
    </xf>
    <xf numFmtId="183" fontId="14" fillId="0" borderId="1" xfId="1" applyNumberFormat="1" applyFont="1" applyBorder="1" applyAlignment="1">
      <alignment vertical="top" wrapText="1"/>
    </xf>
    <xf numFmtId="0" fontId="16" fillId="0" borderId="3" xfId="0" applyNumberFormat="1" applyFont="1" applyBorder="1" applyAlignment="1">
      <alignment horizontal="right" wrapText="1"/>
    </xf>
    <xf numFmtId="182" fontId="16" fillId="0" borderId="46" xfId="1" applyNumberFormat="1" applyFont="1" applyBorder="1" applyAlignment="1">
      <alignment vertical="top" wrapText="1"/>
    </xf>
    <xf numFmtId="182" fontId="16" fillId="0" borderId="49" xfId="1" applyNumberFormat="1" applyFont="1" applyBorder="1" applyAlignment="1">
      <alignment vertical="top" wrapText="1"/>
    </xf>
    <xf numFmtId="182" fontId="16" fillId="0" borderId="50" xfId="1" applyNumberFormat="1" applyFont="1" applyBorder="1" applyAlignment="1">
      <alignment vertical="top" wrapText="1"/>
    </xf>
    <xf numFmtId="182" fontId="16" fillId="0" borderId="48" xfId="1" applyNumberFormat="1" applyFont="1" applyBorder="1" applyAlignment="1">
      <alignment vertical="top" wrapText="1"/>
    </xf>
    <xf numFmtId="183" fontId="16" fillId="0" borderId="44" xfId="6" applyNumberFormat="1" applyFont="1" applyBorder="1" applyAlignment="1">
      <alignment vertical="top" wrapText="1"/>
    </xf>
    <xf numFmtId="0" fontId="16" fillId="0" borderId="3" xfId="0" applyNumberFormat="1" applyFont="1" applyBorder="1" applyAlignment="1">
      <alignment horizontal="left" wrapText="1" indent="1"/>
    </xf>
    <xf numFmtId="183" fontId="16" fillId="0" borderId="42" xfId="1" applyNumberFormat="1" applyFont="1" applyBorder="1" applyAlignment="1">
      <alignment vertical="top" wrapText="1"/>
    </xf>
    <xf numFmtId="183" fontId="16" fillId="0" borderId="42" xfId="6" applyNumberFormat="1" applyFont="1" applyBorder="1" applyAlignment="1">
      <alignment vertical="top" wrapText="1"/>
    </xf>
    <xf numFmtId="183" fontId="16" fillId="0" borderId="8" xfId="6" applyNumberFormat="1" applyFont="1" applyBorder="1" applyAlignment="1">
      <alignment vertical="top" wrapText="1"/>
    </xf>
    <xf numFmtId="183" fontId="16" fillId="0" borderId="3" xfId="6" applyNumberFormat="1" applyFont="1" applyBorder="1" applyAlignment="1">
      <alignment vertical="top" wrapText="1"/>
    </xf>
    <xf numFmtId="183" fontId="16" fillId="0" borderId="0" xfId="6" applyNumberFormat="1" applyFont="1" applyBorder="1" applyAlignment="1">
      <alignment vertical="top" wrapText="1"/>
    </xf>
    <xf numFmtId="183" fontId="16" fillId="0" borderId="1" xfId="6" applyNumberFormat="1" applyFont="1" applyBorder="1" applyAlignment="1">
      <alignment vertical="top" wrapText="1"/>
    </xf>
    <xf numFmtId="167" fontId="14" fillId="0" borderId="42" xfId="1" applyFont="1" applyBorder="1" applyAlignment="1">
      <alignment horizontal="center" vertical="top" wrapText="1"/>
    </xf>
    <xf numFmtId="167" fontId="14" fillId="0" borderId="8" xfId="1" applyFont="1" applyBorder="1" applyAlignment="1">
      <alignment horizontal="center" vertical="top" wrapText="1"/>
    </xf>
    <xf numFmtId="167" fontId="14" fillId="0" borderId="3" xfId="1" applyFont="1" applyBorder="1" applyAlignment="1">
      <alignment horizontal="center" vertical="top" wrapText="1"/>
    </xf>
    <xf numFmtId="167" fontId="14" fillId="0" borderId="0" xfId="1" applyFont="1" applyBorder="1" applyAlignment="1">
      <alignment horizontal="center" vertical="top" wrapText="1"/>
    </xf>
    <xf numFmtId="0" fontId="18" fillId="0" borderId="50" xfId="0" applyNumberFormat="1" applyFont="1" applyBorder="1" applyAlignment="1">
      <alignment horizontal="left" wrapText="1"/>
    </xf>
    <xf numFmtId="0" fontId="14" fillId="0" borderId="46" xfId="0" applyNumberFormat="1" applyFont="1" applyBorder="1" applyAlignment="1">
      <alignment horizontal="center" vertical="top" wrapText="1"/>
    </xf>
    <xf numFmtId="182" fontId="14" fillId="0" borderId="46" xfId="1" applyNumberFormat="1" applyFont="1" applyBorder="1" applyAlignment="1">
      <alignment vertical="top" wrapText="1"/>
    </xf>
    <xf numFmtId="182" fontId="14" fillId="0" borderId="49" xfId="1" applyNumberFormat="1" applyFont="1" applyBorder="1" applyAlignment="1">
      <alignment vertical="top" wrapText="1"/>
    </xf>
    <xf numFmtId="182" fontId="14" fillId="0" borderId="50" xfId="1" applyNumberFormat="1" applyFont="1" applyBorder="1" applyAlignment="1">
      <alignment vertical="top" wrapText="1"/>
    </xf>
    <xf numFmtId="182" fontId="14" fillId="0" borderId="48" xfId="1" applyNumberFormat="1" applyFont="1" applyBorder="1" applyAlignment="1">
      <alignment vertical="top" wrapText="1"/>
    </xf>
    <xf numFmtId="183" fontId="14" fillId="0" borderId="44" xfId="1" applyNumberFormat="1" applyFont="1" applyBorder="1" applyAlignment="1">
      <alignment vertical="top" wrapText="1"/>
    </xf>
    <xf numFmtId="0" fontId="16" fillId="0" borderId="42" xfId="0" applyNumberFormat="1" applyFont="1" applyBorder="1" applyAlignment="1">
      <alignment horizontal="center" vertical="top" wrapText="1"/>
    </xf>
    <xf numFmtId="0" fontId="18" fillId="0" borderId="4" xfId="0" applyNumberFormat="1" applyFont="1" applyBorder="1" applyAlignment="1">
      <alignment horizontal="left" wrapText="1"/>
    </xf>
    <xf numFmtId="0" fontId="14" fillId="0" borderId="36" xfId="0" applyFont="1" applyBorder="1" applyAlignment="1">
      <alignment horizontal="center" vertical="top" wrapText="1"/>
    </xf>
    <xf numFmtId="0" fontId="14" fillId="0" borderId="10" xfId="0" applyFont="1" applyBorder="1" applyAlignment="1">
      <alignment horizontal="center" vertical="top" wrapText="1"/>
    </xf>
    <xf numFmtId="0" fontId="14" fillId="0" borderId="4" xfId="0" applyFont="1" applyBorder="1" applyAlignment="1">
      <alignment horizontal="center" vertical="top" wrapText="1"/>
    </xf>
    <xf numFmtId="0" fontId="14" fillId="0" borderId="9" xfId="0" applyFont="1" applyBorder="1" applyAlignment="1">
      <alignment horizontal="center" vertical="top" wrapText="1"/>
    </xf>
    <xf numFmtId="183" fontId="14" fillId="0" borderId="5" xfId="0" applyNumberFormat="1" applyFont="1" applyBorder="1" applyAlignment="1">
      <alignment vertical="top" wrapText="1"/>
    </xf>
    <xf numFmtId="0" fontId="14" fillId="0" borderId="0" xfId="0" applyFont="1" applyAlignment="1" applyProtection="1">
      <alignment horizontal="center"/>
    </xf>
    <xf numFmtId="4" fontId="14" fillId="0" borderId="0" xfId="0" applyNumberFormat="1" applyFont="1" applyProtection="1"/>
    <xf numFmtId="10" fontId="14" fillId="0" borderId="0" xfId="0" applyNumberFormat="1" applyFont="1" applyProtection="1"/>
    <xf numFmtId="0" fontId="14" fillId="0" borderId="0" xfId="0" applyFont="1" applyProtection="1"/>
    <xf numFmtId="4" fontId="14" fillId="0" borderId="0" xfId="0" applyNumberFormat="1" applyFont="1" applyProtection="1">
      <protection locked="0"/>
    </xf>
    <xf numFmtId="0" fontId="14" fillId="0" borderId="0" xfId="0" applyFont="1" applyProtection="1">
      <protection locked="0"/>
    </xf>
    <xf numFmtId="0" fontId="14" fillId="0" borderId="53" xfId="0" applyFont="1" applyBorder="1"/>
    <xf numFmtId="0" fontId="16" fillId="0" borderId="66" xfId="0" applyFont="1" applyFill="1" applyBorder="1" applyAlignment="1">
      <alignment horizontal="center" vertical="center"/>
    </xf>
    <xf numFmtId="0" fontId="16" fillId="0" borderId="83" xfId="0" applyFont="1" applyFill="1" applyBorder="1" applyAlignment="1">
      <alignment horizontal="center" vertical="center" wrapText="1"/>
    </xf>
    <xf numFmtId="0" fontId="16" fillId="0" borderId="37" xfId="0" applyFont="1" applyFill="1" applyBorder="1" applyAlignment="1">
      <alignment horizontal="center" vertical="center"/>
    </xf>
    <xf numFmtId="0" fontId="16" fillId="0" borderId="4" xfId="0" applyFont="1" applyFill="1" applyBorder="1" applyAlignment="1">
      <alignment horizontal="centerContinuous" vertical="top" wrapText="1"/>
    </xf>
    <xf numFmtId="0" fontId="16" fillId="0" borderId="77" xfId="0" applyFont="1" applyFill="1" applyBorder="1" applyAlignment="1">
      <alignment horizontal="centerContinuous" vertical="top" wrapText="1"/>
    </xf>
    <xf numFmtId="0" fontId="14" fillId="0" borderId="43" xfId="0" applyNumberFormat="1" applyFont="1" applyBorder="1" applyAlignment="1">
      <alignment horizontal="center"/>
    </xf>
    <xf numFmtId="178" fontId="14" fillId="0" borderId="8" xfId="0" applyNumberFormat="1" applyFont="1" applyFill="1" applyBorder="1" applyAlignment="1"/>
    <xf numFmtId="0" fontId="16" fillId="0" borderId="85" xfId="0" applyFont="1" applyFill="1" applyBorder="1" applyAlignment="1">
      <alignment horizontal="center" vertical="center" wrapText="1"/>
    </xf>
    <xf numFmtId="0" fontId="14" fillId="0" borderId="0" xfId="0" applyFont="1" applyAlignment="1">
      <alignment vertical="center"/>
    </xf>
    <xf numFmtId="0" fontId="16" fillId="0" borderId="3" xfId="0" quotePrefix="1" applyNumberFormat="1" applyFont="1" applyBorder="1" applyAlignment="1">
      <alignment horizontal="left" indent="1"/>
    </xf>
    <xf numFmtId="178" fontId="14" fillId="0" borderId="42" xfId="1" applyNumberFormat="1" applyFont="1" applyFill="1" applyBorder="1" applyAlignment="1"/>
    <xf numFmtId="0" fontId="16" fillId="0" borderId="3" xfId="0" applyNumberFormat="1" applyFont="1" applyBorder="1" applyAlignment="1">
      <alignment horizontal="left" indent="2"/>
    </xf>
    <xf numFmtId="178" fontId="16" fillId="0" borderId="60" xfId="1" applyNumberFormat="1" applyFont="1" applyFill="1" applyBorder="1" applyAlignment="1"/>
    <xf numFmtId="178" fontId="16" fillId="0" borderId="42" xfId="0" applyNumberFormat="1" applyFont="1" applyFill="1" applyBorder="1" applyAlignment="1"/>
    <xf numFmtId="0" fontId="14" fillId="0" borderId="3" xfId="0" quotePrefix="1" applyNumberFormat="1" applyFont="1" applyBorder="1" applyAlignment="1">
      <alignment horizontal="left" indent="2"/>
    </xf>
    <xf numFmtId="178" fontId="14" fillId="0" borderId="0" xfId="1" applyNumberFormat="1" applyFont="1" applyFill="1" applyBorder="1" applyAlignment="1"/>
    <xf numFmtId="0" fontId="16" fillId="0" borderId="3" xfId="0" quotePrefix="1" applyNumberFormat="1" applyFont="1" applyBorder="1" applyAlignment="1">
      <alignment horizontal="left" indent="2"/>
    </xf>
    <xf numFmtId="0" fontId="16" fillId="0" borderId="62" xfId="0" applyNumberFormat="1" applyFont="1" applyBorder="1"/>
    <xf numFmtId="0" fontId="14" fillId="0" borderId="60" xfId="0" applyNumberFormat="1" applyFont="1" applyBorder="1" applyAlignment="1">
      <alignment horizontal="center"/>
    </xf>
    <xf numFmtId="0" fontId="16" fillId="0" borderId="3" xfId="0" quotePrefix="1" applyNumberFormat="1" applyFont="1" applyBorder="1"/>
    <xf numFmtId="0" fontId="19" fillId="0" borderId="0" xfId="0" applyFont="1" applyAlignment="1">
      <alignment horizontal="center"/>
    </xf>
    <xf numFmtId="0" fontId="14" fillId="0" borderId="0" xfId="0" applyFont="1" applyBorder="1" applyAlignment="1">
      <alignment horizontal="left" wrapText="1"/>
    </xf>
    <xf numFmtId="167" fontId="14" fillId="0" borderId="0" xfId="1" applyFont="1"/>
    <xf numFmtId="178" fontId="14" fillId="0" borderId="76" xfId="0" applyNumberFormat="1" applyFont="1" applyBorder="1"/>
    <xf numFmtId="0" fontId="18" fillId="0" borderId="3" xfId="0" applyNumberFormat="1" applyFont="1" applyFill="1" applyBorder="1"/>
    <xf numFmtId="0" fontId="16" fillId="0" borderId="62" xfId="0" applyNumberFormat="1" applyFont="1" applyFill="1" applyBorder="1"/>
    <xf numFmtId="0" fontId="14" fillId="0" borderId="60" xfId="0" applyNumberFormat="1" applyFont="1" applyFill="1" applyBorder="1" applyAlignment="1">
      <alignment horizontal="center"/>
    </xf>
    <xf numFmtId="178" fontId="16" fillId="0" borderId="60" xfId="0" applyNumberFormat="1" applyFont="1" applyFill="1" applyBorder="1"/>
    <xf numFmtId="178" fontId="16" fillId="0" borderId="61" xfId="0" applyNumberFormat="1" applyFont="1" applyFill="1" applyBorder="1"/>
    <xf numFmtId="178" fontId="16" fillId="0" borderId="62" xfId="0" applyNumberFormat="1" applyFont="1" applyFill="1" applyBorder="1"/>
    <xf numFmtId="178" fontId="16" fillId="0" borderId="59" xfId="0" applyNumberFormat="1" applyFont="1" applyFill="1" applyBorder="1"/>
    <xf numFmtId="0" fontId="14" fillId="0" borderId="3" xfId="0" applyNumberFormat="1" applyFont="1" applyFill="1" applyBorder="1"/>
    <xf numFmtId="0" fontId="16" fillId="0" borderId="52" xfId="0" applyNumberFormat="1" applyFont="1" applyFill="1" applyBorder="1"/>
    <xf numFmtId="178" fontId="16" fillId="0" borderId="84" xfId="0" applyNumberFormat="1" applyFont="1" applyFill="1" applyBorder="1"/>
    <xf numFmtId="183" fontId="16" fillId="0" borderId="42" xfId="0" applyNumberFormat="1" applyFont="1" applyFill="1" applyBorder="1"/>
    <xf numFmtId="0" fontId="19" fillId="0" borderId="0" xfId="0" applyNumberFormat="1" applyFont="1"/>
    <xf numFmtId="172" fontId="14" fillId="0" borderId="0" xfId="0" applyNumberFormat="1" applyFont="1" applyFill="1"/>
    <xf numFmtId="0" fontId="16" fillId="0" borderId="7" xfId="0" applyFont="1" applyFill="1" applyBorder="1" applyAlignment="1">
      <alignment horizontal="center" vertical="top" wrapText="1"/>
    </xf>
    <xf numFmtId="179" fontId="14" fillId="0" borderId="42" xfId="1" applyNumberFormat="1" applyFont="1" applyBorder="1"/>
    <xf numFmtId="179" fontId="14" fillId="0" borderId="42" xfId="1" applyNumberFormat="1" applyFont="1" applyFill="1" applyBorder="1" applyAlignment="1">
      <alignment horizontal="center"/>
    </xf>
    <xf numFmtId="179" fontId="16" fillId="0" borderId="60" xfId="1" applyNumberFormat="1" applyFont="1" applyFill="1" applyBorder="1" applyAlignment="1">
      <alignment horizontal="center"/>
    </xf>
    <xf numFmtId="179" fontId="16" fillId="0" borderId="60" xfId="1" applyNumberFormat="1" applyFont="1" applyFill="1" applyBorder="1"/>
    <xf numFmtId="0" fontId="19" fillId="0" borderId="3" xfId="0" applyNumberFormat="1" applyFont="1" applyBorder="1"/>
    <xf numFmtId="179" fontId="16" fillId="0" borderId="61" xfId="1" applyNumberFormat="1" applyFont="1" applyFill="1" applyBorder="1"/>
    <xf numFmtId="179" fontId="14" fillId="0" borderId="1" xfId="1" applyNumberFormat="1" applyFont="1" applyFill="1" applyBorder="1"/>
    <xf numFmtId="179" fontId="14" fillId="0" borderId="0" xfId="1" applyNumberFormat="1" applyFont="1" applyBorder="1"/>
    <xf numFmtId="0" fontId="16" fillId="0" borderId="52" xfId="0" applyNumberFormat="1" applyFont="1" applyBorder="1" applyAlignment="1">
      <alignment vertical="center" wrapText="1"/>
    </xf>
    <xf numFmtId="179" fontId="14" fillId="0" borderId="8" xfId="1" applyNumberFormat="1" applyFont="1" applyBorder="1"/>
    <xf numFmtId="179" fontId="14" fillId="0" borderId="3" xfId="1" applyNumberFormat="1" applyFont="1" applyBorder="1"/>
    <xf numFmtId="179" fontId="14" fillId="0" borderId="76" xfId="1" applyNumberFormat="1" applyFont="1" applyBorder="1"/>
    <xf numFmtId="183" fontId="16" fillId="0" borderId="42" xfId="1" applyNumberFormat="1" applyFont="1" applyBorder="1"/>
    <xf numFmtId="179" fontId="16" fillId="0" borderId="53" xfId="1" applyNumberFormat="1" applyFont="1" applyBorder="1"/>
    <xf numFmtId="179" fontId="16" fillId="0" borderId="84" xfId="1" applyNumberFormat="1" applyFont="1" applyBorder="1"/>
    <xf numFmtId="0" fontId="18" fillId="0" borderId="12" xfId="0" applyNumberFormat="1" applyFont="1" applyBorder="1"/>
    <xf numFmtId="0" fontId="18" fillId="0" borderId="75" xfId="0" applyNumberFormat="1" applyFont="1" applyBorder="1" applyAlignment="1">
      <alignment horizontal="center"/>
    </xf>
    <xf numFmtId="0" fontId="14" fillId="0" borderId="76" xfId="0" applyNumberFormat="1" applyFont="1" applyBorder="1" applyAlignment="1">
      <alignment horizontal="center"/>
    </xf>
    <xf numFmtId="0" fontId="16" fillId="0" borderId="76" xfId="0" applyNumberFormat="1" applyFont="1" applyBorder="1" applyAlignment="1">
      <alignment horizontal="center"/>
    </xf>
    <xf numFmtId="0" fontId="18" fillId="0" borderId="76" xfId="0" applyNumberFormat="1" applyFont="1" applyBorder="1" applyAlignment="1">
      <alignment horizontal="center"/>
    </xf>
    <xf numFmtId="0" fontId="16" fillId="0" borderId="50" xfId="0" applyNumberFormat="1" applyFont="1" applyBorder="1"/>
    <xf numFmtId="0" fontId="16" fillId="0" borderId="79" xfId="0" applyNumberFormat="1" applyFont="1" applyBorder="1" applyAlignment="1">
      <alignment horizontal="center"/>
    </xf>
    <xf numFmtId="0" fontId="16" fillId="0" borderId="50" xfId="0" applyNumberFormat="1" applyFont="1" applyBorder="1" applyAlignment="1">
      <alignment vertical="center" wrapText="1"/>
    </xf>
    <xf numFmtId="0" fontId="16" fillId="0" borderId="79" xfId="0" applyNumberFormat="1" applyFont="1" applyBorder="1" applyAlignment="1">
      <alignment horizontal="center" vertical="center" wrapText="1"/>
    </xf>
    <xf numFmtId="0" fontId="14" fillId="0" borderId="76" xfId="0" applyNumberFormat="1" applyFont="1" applyBorder="1" applyAlignment="1">
      <alignment horizontal="center" vertical="top" wrapText="1"/>
    </xf>
    <xf numFmtId="0" fontId="16" fillId="0" borderId="84" xfId="0" quotePrefix="1" applyNumberFormat="1" applyFont="1" applyBorder="1" applyAlignment="1">
      <alignment horizontal="center" vertical="center" wrapText="1"/>
    </xf>
    <xf numFmtId="0" fontId="20" fillId="0" borderId="0" xfId="0" applyNumberFormat="1" applyFont="1" applyBorder="1" applyAlignment="1">
      <alignment vertical="center" wrapText="1"/>
    </xf>
    <xf numFmtId="168" fontId="19" fillId="0" borderId="0" xfId="1" applyNumberFormat="1" applyFont="1"/>
    <xf numFmtId="0" fontId="21" fillId="0" borderId="0" xfId="0" applyFont="1" applyBorder="1" applyAlignment="1">
      <alignment horizontal="center" vertical="center" wrapText="1"/>
    </xf>
    <xf numFmtId="0" fontId="14" fillId="0" borderId="84" xfId="0" quotePrefix="1" applyNumberFormat="1" applyFont="1" applyBorder="1" applyAlignment="1">
      <alignment horizontal="center" vertical="center" wrapText="1"/>
    </xf>
    <xf numFmtId="0" fontId="14" fillId="0" borderId="3" xfId="0" applyNumberFormat="1" applyFont="1" applyFill="1" applyBorder="1" applyAlignment="1"/>
    <xf numFmtId="0" fontId="19" fillId="0" borderId="0" xfId="0" applyFont="1" applyFill="1" applyAlignment="1">
      <alignment horizontal="center"/>
    </xf>
    <xf numFmtId="0" fontId="16" fillId="0" borderId="68" xfId="0" applyNumberFormat="1" applyFont="1" applyFill="1" applyBorder="1" applyAlignment="1">
      <alignment vertical="center" wrapText="1"/>
    </xf>
    <xf numFmtId="178" fontId="16" fillId="0" borderId="68" xfId="0" applyNumberFormat="1" applyFont="1" applyFill="1" applyBorder="1" applyAlignment="1">
      <alignment vertical="center"/>
    </xf>
    <xf numFmtId="178" fontId="16" fillId="0" borderId="71" xfId="0" applyNumberFormat="1" applyFont="1" applyFill="1" applyBorder="1" applyAlignment="1">
      <alignment vertical="center"/>
    </xf>
    <xf numFmtId="178" fontId="16" fillId="0" borderId="72" xfId="0" applyNumberFormat="1" applyFont="1" applyFill="1" applyBorder="1" applyAlignment="1">
      <alignment vertical="center"/>
    </xf>
    <xf numFmtId="172" fontId="16" fillId="0" borderId="89" xfId="0" applyNumberFormat="1" applyFont="1" applyFill="1" applyBorder="1" applyAlignment="1">
      <alignment vertical="center"/>
    </xf>
    <xf numFmtId="172" fontId="16" fillId="0" borderId="90" xfId="0" applyNumberFormat="1" applyFont="1" applyFill="1" applyBorder="1" applyAlignment="1">
      <alignment vertical="center"/>
    </xf>
    <xf numFmtId="172" fontId="16" fillId="0" borderId="91" xfId="0" applyNumberFormat="1" applyFont="1" applyFill="1" applyBorder="1" applyAlignment="1">
      <alignment vertical="center"/>
    </xf>
    <xf numFmtId="0" fontId="14" fillId="0" borderId="0" xfId="0" applyFont="1" applyFill="1" applyAlignment="1">
      <alignment vertical="center"/>
    </xf>
    <xf numFmtId="0" fontId="14" fillId="0" borderId="5" xfId="0" applyNumberFormat="1" applyFont="1" applyFill="1" applyBorder="1"/>
    <xf numFmtId="178" fontId="14" fillId="0" borderId="4" xfId="0" applyNumberFormat="1" applyFont="1" applyFill="1" applyBorder="1"/>
    <xf numFmtId="178" fontId="14" fillId="0" borderId="36" xfId="0" applyNumberFormat="1" applyFont="1" applyFill="1" applyBorder="1"/>
    <xf numFmtId="178" fontId="14" fillId="0" borderId="10" xfId="0" applyNumberFormat="1" applyFont="1" applyFill="1" applyBorder="1"/>
    <xf numFmtId="0" fontId="16" fillId="0" borderId="92" xfId="0" applyFont="1" applyFill="1" applyBorder="1" applyAlignment="1">
      <alignment horizontal="center" vertical="center" wrapText="1"/>
    </xf>
    <xf numFmtId="0" fontId="18" fillId="0" borderId="11" xfId="0" applyNumberFormat="1" applyFont="1" applyBorder="1"/>
    <xf numFmtId="177" fontId="14" fillId="0" borderId="47" xfId="0" applyNumberFormat="1" applyFont="1" applyFill="1" applyBorder="1"/>
    <xf numFmtId="177" fontId="14" fillId="0" borderId="45" xfId="0" applyNumberFormat="1" applyFont="1" applyFill="1" applyBorder="1"/>
    <xf numFmtId="0" fontId="14" fillId="0" borderId="1" xfId="0" applyNumberFormat="1" applyFont="1" applyBorder="1" applyAlignment="1">
      <alignment horizontal="left" indent="1"/>
    </xf>
    <xf numFmtId="0" fontId="16" fillId="0" borderId="1" xfId="0" applyNumberFormat="1" applyFont="1" applyBorder="1"/>
    <xf numFmtId="177" fontId="16" fillId="0" borderId="51" xfId="0" applyNumberFormat="1" applyFont="1" applyFill="1" applyBorder="1"/>
    <xf numFmtId="177" fontId="16" fillId="0" borderId="50" xfId="0" applyNumberFormat="1" applyFont="1" applyFill="1" applyBorder="1"/>
    <xf numFmtId="177" fontId="16" fillId="0" borderId="48" xfId="0" applyNumberFormat="1" applyFont="1" applyFill="1" applyBorder="1"/>
    <xf numFmtId="177" fontId="16" fillId="0" borderId="63" xfId="0" applyNumberFormat="1" applyFont="1" applyFill="1" applyBorder="1"/>
    <xf numFmtId="177" fontId="16" fillId="0" borderId="60" xfId="0" applyNumberFormat="1" applyFont="1" applyFill="1" applyBorder="1"/>
    <xf numFmtId="177" fontId="16" fillId="0" borderId="61" xfId="0" applyNumberFormat="1" applyFont="1" applyFill="1" applyBorder="1"/>
    <xf numFmtId="177" fontId="16" fillId="0" borderId="62" xfId="0" applyNumberFormat="1" applyFont="1" applyFill="1" applyBorder="1"/>
    <xf numFmtId="177" fontId="16" fillId="0" borderId="59" xfId="0" applyNumberFormat="1" applyFont="1" applyFill="1" applyBorder="1"/>
    <xf numFmtId="177" fontId="16" fillId="0" borderId="47" xfId="0" applyNumberFormat="1" applyFont="1" applyFill="1" applyBorder="1"/>
    <xf numFmtId="177" fontId="16" fillId="0" borderId="3" xfId="0" applyNumberFormat="1" applyFont="1" applyFill="1" applyBorder="1"/>
    <xf numFmtId="177" fontId="16" fillId="0" borderId="0" xfId="0" applyNumberFormat="1" applyFont="1" applyFill="1" applyBorder="1"/>
    <xf numFmtId="0" fontId="14" fillId="0" borderId="5" xfId="0" applyNumberFormat="1" applyFont="1" applyBorder="1"/>
    <xf numFmtId="177" fontId="14" fillId="0" borderId="64" xfId="0" applyNumberFormat="1" applyFont="1" applyFill="1" applyBorder="1"/>
    <xf numFmtId="177" fontId="14" fillId="0" borderId="36" xfId="0" applyNumberFormat="1" applyFont="1" applyFill="1" applyBorder="1"/>
    <xf numFmtId="177" fontId="14" fillId="0" borderId="10" xfId="0" applyNumberFormat="1" applyFont="1" applyFill="1" applyBorder="1"/>
    <xf numFmtId="177" fontId="14" fillId="0" borderId="4" xfId="0" applyNumberFormat="1" applyFont="1" applyFill="1" applyBorder="1"/>
    <xf numFmtId="177" fontId="14" fillId="0" borderId="9" xfId="0" applyNumberFormat="1" applyFont="1" applyFill="1" applyBorder="1"/>
    <xf numFmtId="0" fontId="18" fillId="0" borderId="1" xfId="0" applyNumberFormat="1" applyFont="1" applyBorder="1"/>
    <xf numFmtId="0" fontId="17" fillId="0" borderId="1" xfId="0" applyNumberFormat="1" applyFont="1" applyBorder="1"/>
    <xf numFmtId="173" fontId="14" fillId="0" borderId="0" xfId="0" applyNumberFormat="1" applyFont="1"/>
    <xf numFmtId="177" fontId="14" fillId="0" borderId="43" xfId="0" applyNumberFormat="1" applyFont="1" applyFill="1" applyBorder="1"/>
    <xf numFmtId="177" fontId="14" fillId="0" borderId="7" xfId="0" applyNumberFormat="1" applyFont="1" applyFill="1" applyBorder="1"/>
    <xf numFmtId="177" fontId="14" fillId="0" borderId="12" xfId="0" applyNumberFormat="1" applyFont="1" applyFill="1" applyBorder="1"/>
    <xf numFmtId="177" fontId="14" fillId="0" borderId="6" xfId="0" applyNumberFormat="1" applyFont="1" applyFill="1" applyBorder="1"/>
    <xf numFmtId="0" fontId="14" fillId="0" borderId="5" xfId="0" applyFont="1" applyBorder="1"/>
    <xf numFmtId="0" fontId="16" fillId="0" borderId="7" xfId="0" applyFont="1" applyFill="1" applyBorder="1" applyAlignment="1">
      <alignment horizontal="center" vertical="center" wrapText="1"/>
    </xf>
    <xf numFmtId="0" fontId="16" fillId="0" borderId="53" xfId="0" applyFont="1" applyFill="1" applyBorder="1" applyAlignment="1">
      <alignment horizontal="center" vertical="center" wrapText="1"/>
    </xf>
    <xf numFmtId="0" fontId="16" fillId="0" borderId="84" xfId="0" applyFont="1" applyFill="1" applyBorder="1" applyAlignment="1">
      <alignment horizontal="center" vertical="center" wrapText="1"/>
    </xf>
    <xf numFmtId="0" fontId="16" fillId="0" borderId="82" xfId="0" applyFont="1" applyFill="1" applyBorder="1" applyAlignment="1">
      <alignment horizontal="center" vertical="center" wrapText="1"/>
    </xf>
    <xf numFmtId="0" fontId="14" fillId="0" borderId="36" xfId="0" applyNumberFormat="1" applyFont="1" applyFill="1" applyBorder="1" applyAlignment="1">
      <alignment horizontal="center" vertical="center"/>
    </xf>
    <xf numFmtId="178" fontId="16" fillId="0" borderId="1" xfId="0" applyNumberFormat="1" applyFont="1" applyBorder="1" applyAlignment="1">
      <alignment horizontal="center"/>
    </xf>
    <xf numFmtId="178" fontId="14" fillId="0" borderId="44" xfId="0" applyNumberFormat="1" applyFont="1" applyBorder="1"/>
    <xf numFmtId="178" fontId="14" fillId="0" borderId="88" xfId="0" applyNumberFormat="1" applyFont="1" applyBorder="1"/>
    <xf numFmtId="0" fontId="11" fillId="0" borderId="0" xfId="0" applyFont="1" applyFill="1" applyBorder="1" applyAlignment="1">
      <alignment horizontal="left"/>
    </xf>
    <xf numFmtId="178" fontId="16" fillId="0" borderId="43" xfId="0" applyNumberFormat="1" applyFont="1" applyFill="1" applyBorder="1" applyAlignment="1">
      <alignment horizontal="center"/>
    </xf>
    <xf numFmtId="178" fontId="16" fillId="0" borderId="6" xfId="0" applyNumberFormat="1" applyFont="1" applyFill="1" applyBorder="1" applyAlignment="1">
      <alignment horizontal="center"/>
    </xf>
    <xf numFmtId="178" fontId="14" fillId="0" borderId="42" xfId="0" applyNumberFormat="1" applyFont="1" applyFill="1" applyBorder="1" applyAlignment="1">
      <alignment horizontal="right"/>
    </xf>
    <xf numFmtId="178" fontId="14" fillId="0" borderId="0" xfId="0" applyNumberFormat="1" applyFont="1" applyFill="1" applyBorder="1" applyAlignment="1">
      <alignment horizontal="right"/>
    </xf>
    <xf numFmtId="178" fontId="14" fillId="0" borderId="3" xfId="0" applyNumberFormat="1" applyFont="1" applyFill="1" applyBorder="1" applyAlignment="1">
      <alignment horizontal="right"/>
    </xf>
    <xf numFmtId="178" fontId="14" fillId="0" borderId="8" xfId="0" applyNumberFormat="1" applyFont="1" applyFill="1" applyBorder="1" applyAlignment="1">
      <alignment horizontal="right"/>
    </xf>
    <xf numFmtId="178" fontId="16" fillId="0" borderId="42" xfId="0" applyNumberFormat="1" applyFont="1" applyFill="1" applyBorder="1" applyAlignment="1">
      <alignment horizontal="right"/>
    </xf>
    <xf numFmtId="178" fontId="16" fillId="0" borderId="0" xfId="0" applyNumberFormat="1" applyFont="1" applyFill="1" applyBorder="1" applyAlignment="1">
      <alignment horizontal="right"/>
    </xf>
    <xf numFmtId="178" fontId="16" fillId="0" borderId="3" xfId="0" applyNumberFormat="1" applyFont="1" applyFill="1" applyBorder="1" applyAlignment="1">
      <alignment horizontal="right"/>
    </xf>
    <xf numFmtId="178" fontId="16" fillId="0" borderId="8" xfId="0" applyNumberFormat="1" applyFont="1" applyFill="1" applyBorder="1" applyAlignment="1">
      <alignment horizontal="right"/>
    </xf>
    <xf numFmtId="0" fontId="16" fillId="0" borderId="12" xfId="0" applyNumberFormat="1" applyFont="1" applyFill="1" applyBorder="1"/>
    <xf numFmtId="0" fontId="14" fillId="0" borderId="43" xfId="0" applyNumberFormat="1" applyFont="1" applyFill="1" applyBorder="1" applyAlignment="1">
      <alignment horizontal="center"/>
    </xf>
    <xf numFmtId="0" fontId="16" fillId="0" borderId="43" xfId="0" applyNumberFormat="1" applyFont="1" applyFill="1" applyBorder="1" applyAlignment="1">
      <alignment horizontal="center"/>
    </xf>
    <xf numFmtId="179" fontId="16" fillId="0" borderId="43" xfId="1" applyNumberFormat="1" applyFont="1" applyFill="1" applyBorder="1" applyAlignment="1">
      <alignment horizontal="center"/>
    </xf>
    <xf numFmtId="0" fontId="19" fillId="0" borderId="43" xfId="0" applyNumberFormat="1" applyFont="1" applyFill="1" applyBorder="1" applyAlignment="1">
      <alignment horizontal="center"/>
    </xf>
    <xf numFmtId="0" fontId="19" fillId="0" borderId="6" xfId="0" applyNumberFormat="1" applyFont="1" applyFill="1" applyBorder="1" applyAlignment="1">
      <alignment horizontal="center"/>
    </xf>
    <xf numFmtId="179" fontId="16" fillId="0" borderId="42" xfId="1" applyNumberFormat="1" applyFont="1" applyFill="1" applyBorder="1" applyAlignment="1">
      <alignment horizontal="center"/>
    </xf>
    <xf numFmtId="0" fontId="19" fillId="0" borderId="42" xfId="0" applyNumberFormat="1" applyFont="1" applyFill="1" applyBorder="1" applyAlignment="1">
      <alignment horizontal="center"/>
    </xf>
    <xf numFmtId="0" fontId="19" fillId="0" borderId="0" xfId="0" applyNumberFormat="1" applyFont="1" applyFill="1" applyBorder="1" applyAlignment="1">
      <alignment horizontal="center"/>
    </xf>
    <xf numFmtId="0" fontId="19" fillId="0" borderId="3" xfId="0" applyNumberFormat="1" applyFont="1" applyFill="1" applyBorder="1"/>
    <xf numFmtId="0" fontId="14" fillId="0" borderId="42" xfId="0" applyNumberFormat="1" applyFont="1" applyFill="1" applyBorder="1"/>
    <xf numFmtId="0" fontId="16" fillId="0" borderId="80" xfId="0" applyFont="1" applyFill="1" applyBorder="1" applyAlignment="1">
      <alignment horizontal="center" vertical="center" wrapText="1"/>
    </xf>
    <xf numFmtId="0" fontId="16" fillId="0" borderId="6" xfId="1" applyNumberFormat="1" applyFont="1" applyFill="1" applyBorder="1" applyAlignment="1">
      <alignment horizontal="center"/>
    </xf>
    <xf numFmtId="178" fontId="16" fillId="0" borderId="66" xfId="0" applyNumberFormat="1" applyFont="1" applyFill="1" applyBorder="1" applyAlignment="1">
      <alignment horizontal="center"/>
    </xf>
    <xf numFmtId="178" fontId="16" fillId="0" borderId="12" xfId="0" applyNumberFormat="1" applyFont="1" applyFill="1" applyBorder="1" applyAlignment="1">
      <alignment horizontal="center"/>
    </xf>
    <xf numFmtId="178" fontId="16" fillId="0" borderId="7" xfId="0" applyNumberFormat="1" applyFont="1" applyFill="1" applyBorder="1" applyAlignment="1">
      <alignment horizontal="center"/>
    </xf>
    <xf numFmtId="0" fontId="16" fillId="0" borderId="0" xfId="1" applyNumberFormat="1" applyFont="1" applyFill="1" applyBorder="1" applyAlignment="1">
      <alignment horizontal="center"/>
    </xf>
    <xf numFmtId="178" fontId="16" fillId="0" borderId="42" xfId="0" applyNumberFormat="1" applyFont="1" applyFill="1" applyBorder="1" applyAlignment="1">
      <alignment horizontal="center"/>
    </xf>
    <xf numFmtId="178" fontId="16" fillId="0" borderId="67" xfId="0" applyNumberFormat="1" applyFont="1" applyFill="1" applyBorder="1" applyAlignment="1">
      <alignment horizontal="center"/>
    </xf>
    <xf numFmtId="178" fontId="16" fillId="0" borderId="3" xfId="0" applyNumberFormat="1" applyFont="1" applyFill="1" applyBorder="1" applyAlignment="1">
      <alignment horizontal="center"/>
    </xf>
    <xf numFmtId="178" fontId="16" fillId="0" borderId="8" xfId="0" applyNumberFormat="1" applyFont="1" applyFill="1" applyBorder="1" applyAlignment="1">
      <alignment horizontal="center"/>
    </xf>
    <xf numFmtId="0" fontId="16" fillId="0" borderId="3" xfId="0" applyNumberFormat="1" applyFont="1" applyFill="1" applyBorder="1" applyAlignment="1">
      <alignment horizontal="left" indent="1"/>
    </xf>
    <xf numFmtId="0" fontId="14" fillId="0" borderId="42" xfId="0" applyFont="1" applyBorder="1"/>
    <xf numFmtId="180" fontId="14" fillId="0" borderId="42" xfId="1" applyNumberFormat="1" applyFont="1" applyFill="1" applyBorder="1" applyAlignment="1"/>
    <xf numFmtId="0" fontId="20" fillId="0" borderId="6" xfId="0" applyFont="1" applyBorder="1"/>
    <xf numFmtId="0" fontId="16" fillId="0" borderId="45" xfId="0" applyFont="1" applyFill="1" applyBorder="1" applyAlignment="1">
      <alignment horizontal="center" vertical="center"/>
    </xf>
    <xf numFmtId="0" fontId="16" fillId="0" borderId="42" xfId="0" applyFont="1" applyBorder="1" applyAlignment="1">
      <alignment horizontal="center"/>
    </xf>
    <xf numFmtId="49" fontId="16" fillId="0" borderId="45" xfId="0" applyNumberFormat="1" applyFont="1" applyFill="1" applyBorder="1" applyAlignment="1">
      <alignment horizontal="center" vertical="center" wrapText="1"/>
    </xf>
    <xf numFmtId="0" fontId="16" fillId="0" borderId="36" xfId="0" applyFont="1" applyFill="1" applyBorder="1" applyAlignment="1">
      <alignment horizontal="center" vertical="center"/>
    </xf>
    <xf numFmtId="0" fontId="16" fillId="0" borderId="37" xfId="0" applyFont="1" applyFill="1" applyBorder="1" applyAlignment="1">
      <alignment horizontal="center" vertical="center" wrapText="1"/>
    </xf>
    <xf numFmtId="0" fontId="16" fillId="0" borderId="64" xfId="0" applyFont="1" applyFill="1" applyBorder="1" applyAlignment="1">
      <alignment horizontal="center" vertical="center" wrapText="1"/>
    </xf>
    <xf numFmtId="168" fontId="14" fillId="0" borderId="2" xfId="1" applyNumberFormat="1" applyFont="1" applyBorder="1"/>
    <xf numFmtId="0" fontId="16" fillId="0" borderId="36" xfId="0" applyFont="1" applyFill="1" applyBorder="1" applyAlignment="1">
      <alignment vertical="center"/>
    </xf>
    <xf numFmtId="0" fontId="16" fillId="0" borderId="64" xfId="0" applyFont="1" applyFill="1" applyBorder="1" applyAlignment="1"/>
    <xf numFmtId="49" fontId="16" fillId="0" borderId="64" xfId="0" applyNumberFormat="1" applyFont="1" applyFill="1" applyBorder="1" applyAlignment="1">
      <alignment vertical="center" wrapText="1"/>
    </xf>
    <xf numFmtId="0" fontId="14" fillId="0" borderId="76" xfId="0" quotePrefix="1" applyNumberFormat="1" applyFont="1" applyBorder="1" applyAlignment="1">
      <alignment horizontal="center"/>
    </xf>
    <xf numFmtId="0" fontId="7" fillId="2" borderId="9" xfId="0" applyFont="1" applyFill="1" applyBorder="1" applyAlignment="1">
      <alignment horizontal="center" vertical="center"/>
    </xf>
    <xf numFmtId="49" fontId="16" fillId="0" borderId="45" xfId="0" applyNumberFormat="1" applyFont="1" applyFill="1" applyBorder="1" applyAlignment="1">
      <alignment vertical="center" wrapText="1"/>
    </xf>
    <xf numFmtId="0" fontId="16" fillId="0" borderId="75" xfId="0" applyFont="1" applyFill="1" applyBorder="1" applyAlignment="1">
      <alignment vertical="center"/>
    </xf>
    <xf numFmtId="0" fontId="16" fillId="0" borderId="77" xfId="0" applyFont="1" applyFill="1" applyBorder="1" applyAlignment="1">
      <alignment vertical="center"/>
    </xf>
    <xf numFmtId="0" fontId="16" fillId="0" borderId="93" xfId="0" applyFont="1" applyFill="1" applyBorder="1" applyAlignment="1">
      <alignment horizontal="center" vertical="center" wrapText="1"/>
    </xf>
    <xf numFmtId="0" fontId="16" fillId="0" borderId="10" xfId="0" quotePrefix="1" applyFont="1" applyFill="1" applyBorder="1" applyAlignment="1">
      <alignment horizontal="center" vertical="center" wrapText="1"/>
    </xf>
    <xf numFmtId="49" fontId="16" fillId="0" borderId="11" xfId="0" applyNumberFormat="1" applyFont="1" applyFill="1" applyBorder="1" applyAlignment="1">
      <alignment vertical="center" wrapText="1"/>
    </xf>
    <xf numFmtId="0" fontId="16" fillId="0" borderId="11"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52" xfId="0" applyFont="1" applyFill="1" applyBorder="1" applyAlignment="1">
      <alignment horizontal="center" vertical="top" wrapText="1"/>
    </xf>
    <xf numFmtId="0" fontId="16" fillId="0" borderId="53" xfId="0" applyFont="1" applyFill="1" applyBorder="1" applyAlignment="1">
      <alignment horizontal="center" vertical="top" wrapText="1"/>
    </xf>
    <xf numFmtId="0" fontId="16" fillId="0" borderId="55" xfId="0" applyFont="1" applyFill="1" applyBorder="1" applyAlignment="1">
      <alignment horizontal="center" vertical="top" wrapText="1"/>
    </xf>
    <xf numFmtId="0" fontId="16" fillId="0" borderId="54" xfId="0" applyFont="1" applyFill="1" applyBorder="1" applyAlignment="1">
      <alignment horizontal="center" vertical="center" wrapText="1"/>
    </xf>
    <xf numFmtId="0" fontId="15" fillId="7" borderId="12" xfId="0" applyFont="1" applyFill="1" applyBorder="1"/>
    <xf numFmtId="0" fontId="15" fillId="7" borderId="6" xfId="0" applyFont="1" applyFill="1" applyBorder="1" applyAlignment="1">
      <alignment horizontal="left"/>
    </xf>
    <xf numFmtId="176" fontId="4" fillId="0" borderId="6" xfId="0" applyNumberFormat="1" applyFont="1" applyBorder="1"/>
    <xf numFmtId="176" fontId="4" fillId="0" borderId="0" xfId="0" applyNumberFormat="1" applyFont="1" applyBorder="1"/>
    <xf numFmtId="176" fontId="7" fillId="0" borderId="0" xfId="0" applyNumberFormat="1" applyFont="1" applyBorder="1"/>
    <xf numFmtId="176" fontId="6" fillId="0" borderId="94" xfId="0" applyNumberFormat="1" applyFont="1" applyBorder="1"/>
    <xf numFmtId="176" fontId="6" fillId="0" borderId="95" xfId="0" applyNumberFormat="1" applyFont="1" applyBorder="1"/>
    <xf numFmtId="176" fontId="4" fillId="0" borderId="94" xfId="0" applyNumberFormat="1" applyFont="1" applyBorder="1"/>
    <xf numFmtId="176" fontId="4" fillId="0" borderId="95" xfId="0" applyNumberFormat="1" applyFont="1" applyBorder="1"/>
    <xf numFmtId="176" fontId="6" fillId="0" borderId="0" xfId="0" applyNumberFormat="1" applyFont="1" applyBorder="1"/>
    <xf numFmtId="176" fontId="7" fillId="0" borderId="35" xfId="0" applyNumberFormat="1" applyFont="1" applyBorder="1"/>
    <xf numFmtId="176" fontId="7" fillId="0" borderId="94" xfId="0" applyNumberFormat="1" applyFont="1" applyBorder="1"/>
    <xf numFmtId="176" fontId="7" fillId="0" borderId="95" xfId="0" applyNumberFormat="1" applyFont="1" applyBorder="1"/>
    <xf numFmtId="176" fontId="4" fillId="0" borderId="96" xfId="0" applyNumberFormat="1" applyFont="1" applyBorder="1"/>
    <xf numFmtId="0" fontId="23" fillId="0" borderId="0" xfId="0" applyFont="1"/>
    <xf numFmtId="178" fontId="16" fillId="0" borderId="9" xfId="0" applyNumberFormat="1" applyFont="1" applyFill="1" applyBorder="1"/>
    <xf numFmtId="178" fontId="19" fillId="0" borderId="46" xfId="0" applyNumberFormat="1" applyFont="1" applyFill="1" applyBorder="1"/>
    <xf numFmtId="178" fontId="19" fillId="0" borderId="49" xfId="0" applyNumberFormat="1" applyFont="1" applyFill="1" applyBorder="1"/>
    <xf numFmtId="178" fontId="19" fillId="0" borderId="50" xfId="0" applyNumberFormat="1" applyFont="1" applyFill="1" applyBorder="1"/>
    <xf numFmtId="178" fontId="19" fillId="0" borderId="48" xfId="0" applyNumberFormat="1" applyFont="1" applyFill="1" applyBorder="1"/>
    <xf numFmtId="178" fontId="19" fillId="0" borderId="51" xfId="0" applyNumberFormat="1" applyFont="1" applyFill="1" applyBorder="1"/>
    <xf numFmtId="168" fontId="19" fillId="0" borderId="0" xfId="1" applyNumberFormat="1" applyFont="1" applyFill="1" applyBorder="1" applyAlignment="1">
      <alignment horizontal="right"/>
    </xf>
    <xf numFmtId="0" fontId="15" fillId="7" borderId="11" xfId="0" applyFont="1" applyFill="1" applyBorder="1" applyAlignment="1">
      <alignment horizontal="left"/>
    </xf>
    <xf numFmtId="0" fontId="15" fillId="7" borderId="12" xfId="0" applyFont="1" applyFill="1" applyBorder="1" applyAlignment="1">
      <alignment horizontal="left"/>
    </xf>
    <xf numFmtId="16" fontId="4" fillId="0" borderId="1" xfId="0" quotePrefix="1" applyNumberFormat="1" applyFont="1" applyBorder="1" applyAlignment="1">
      <alignment horizontal="center"/>
    </xf>
    <xf numFmtId="0" fontId="4" fillId="0" borderId="1" xfId="0" quotePrefix="1" applyFont="1" applyBorder="1" applyAlignment="1">
      <alignment horizontal="center"/>
    </xf>
    <xf numFmtId="0" fontId="15" fillId="8" borderId="17" xfId="0" applyFont="1" applyFill="1" applyBorder="1" applyAlignment="1">
      <alignment horizontal="left"/>
    </xf>
    <xf numFmtId="0" fontId="7" fillId="8" borderId="35" xfId="0" applyFont="1" applyFill="1" applyBorder="1"/>
    <xf numFmtId="176" fontId="24" fillId="0" borderId="11" xfId="0" applyNumberFormat="1" applyFont="1" applyBorder="1"/>
    <xf numFmtId="0" fontId="14" fillId="0" borderId="0" xfId="0" applyFont="1" applyBorder="1" applyAlignment="1" applyProtection="1">
      <alignment horizontal="center"/>
      <protection locked="0"/>
    </xf>
    <xf numFmtId="0" fontId="19" fillId="0" borderId="0" xfId="0" applyFont="1" applyFill="1" applyBorder="1" applyProtection="1">
      <protection locked="0"/>
    </xf>
    <xf numFmtId="172" fontId="16" fillId="0" borderId="0" xfId="0" applyNumberFormat="1" applyFont="1" applyFill="1" applyBorder="1" applyProtection="1">
      <protection locked="0"/>
    </xf>
    <xf numFmtId="0" fontId="16" fillId="0" borderId="0" xfId="0" applyFont="1" applyBorder="1" applyProtection="1">
      <protection locked="0"/>
    </xf>
    <xf numFmtId="172" fontId="16" fillId="0" borderId="0" xfId="0" applyNumberFormat="1" applyFont="1" applyBorder="1" applyProtection="1">
      <protection locked="0"/>
    </xf>
    <xf numFmtId="0" fontId="19" fillId="0" borderId="0" xfId="0" applyFont="1" applyBorder="1" applyAlignment="1" applyProtection="1">
      <alignment horizontal="center"/>
      <protection locked="0"/>
    </xf>
    <xf numFmtId="0" fontId="14" fillId="0" borderId="42" xfId="0" applyNumberFormat="1" applyFont="1" applyBorder="1" applyAlignment="1" applyProtection="1">
      <alignment horizontal="center"/>
      <protection locked="0"/>
    </xf>
    <xf numFmtId="0" fontId="14" fillId="0" borderId="53" xfId="0" applyNumberFormat="1" applyFont="1" applyBorder="1" applyAlignment="1" applyProtection="1">
      <alignment horizontal="center"/>
      <protection locked="0"/>
    </xf>
    <xf numFmtId="0" fontId="14" fillId="0" borderId="0" xfId="0" applyFont="1" applyAlignment="1" applyProtection="1">
      <alignment horizontal="center"/>
      <protection locked="0"/>
    </xf>
    <xf numFmtId="0" fontId="16" fillId="0" borderId="42" xfId="0" applyNumberFormat="1" applyFont="1" applyBorder="1" applyAlignment="1" applyProtection="1">
      <alignment horizontal="center"/>
      <protection locked="0"/>
    </xf>
    <xf numFmtId="172" fontId="17" fillId="0" borderId="0" xfId="0" applyNumberFormat="1" applyFont="1" applyBorder="1" applyProtection="1">
      <protection locked="0"/>
    </xf>
    <xf numFmtId="0" fontId="19" fillId="0" borderId="0" xfId="0" applyNumberFormat="1" applyFont="1" applyBorder="1" applyProtection="1">
      <protection locked="0"/>
    </xf>
    <xf numFmtId="0" fontId="14" fillId="0" borderId="0" xfId="0" applyFont="1" applyBorder="1" applyAlignment="1" applyProtection="1">
      <protection locked="0"/>
    </xf>
    <xf numFmtId="0" fontId="14" fillId="0" borderId="0" xfId="0" applyFont="1" applyBorder="1" applyProtection="1">
      <protection locked="0"/>
    </xf>
    <xf numFmtId="0" fontId="14" fillId="0" borderId="0" xfId="0" applyFont="1" applyFill="1" applyBorder="1" applyProtection="1">
      <protection locked="0"/>
    </xf>
    <xf numFmtId="178" fontId="14" fillId="0" borderId="42" xfId="0" applyNumberFormat="1" applyFont="1" applyFill="1" applyBorder="1" applyProtection="1"/>
    <xf numFmtId="178" fontId="14" fillId="0" borderId="8" xfId="0" applyNumberFormat="1" applyFont="1" applyFill="1" applyBorder="1" applyProtection="1"/>
    <xf numFmtId="178" fontId="14" fillId="0" borderId="3" xfId="0" applyNumberFormat="1" applyFont="1" applyFill="1" applyBorder="1" applyProtection="1"/>
    <xf numFmtId="178" fontId="14" fillId="0" borderId="0" xfId="0" applyNumberFormat="1" applyFont="1" applyFill="1" applyBorder="1" applyProtection="1"/>
    <xf numFmtId="178" fontId="14" fillId="0" borderId="47" xfId="0" applyNumberFormat="1" applyFont="1" applyFill="1" applyBorder="1" applyProtection="1"/>
    <xf numFmtId="178" fontId="14" fillId="0" borderId="1" xfId="0" applyNumberFormat="1" applyFont="1" applyFill="1" applyBorder="1"/>
    <xf numFmtId="178" fontId="14" fillId="0" borderId="42" xfId="0" applyNumberFormat="1" applyFont="1" applyFill="1" applyBorder="1" applyAlignment="1" applyProtection="1"/>
    <xf numFmtId="178" fontId="14" fillId="0" borderId="8" xfId="0" applyNumberFormat="1" applyFont="1" applyFill="1" applyBorder="1" applyAlignment="1" applyProtection="1"/>
    <xf numFmtId="178" fontId="14" fillId="0" borderId="3" xfId="0" applyNumberFormat="1" applyFont="1" applyFill="1" applyBorder="1" applyAlignment="1" applyProtection="1"/>
    <xf numFmtId="178" fontId="14" fillId="0" borderId="0" xfId="0" applyNumberFormat="1" applyFont="1" applyFill="1" applyBorder="1" applyAlignment="1" applyProtection="1"/>
    <xf numFmtId="178" fontId="14" fillId="0" borderId="47" xfId="0" applyNumberFormat="1" applyFont="1" applyFill="1" applyBorder="1" applyAlignment="1" applyProtection="1"/>
    <xf numFmtId="0" fontId="14" fillId="0" borderId="0" xfId="0" applyNumberFormat="1" applyFont="1" applyBorder="1" applyAlignment="1" applyProtection="1">
      <alignment horizontal="center"/>
      <protection locked="0"/>
    </xf>
    <xf numFmtId="10" fontId="14" fillId="0" borderId="0" xfId="0" applyNumberFormat="1" applyFont="1" applyProtection="1">
      <protection locked="0"/>
    </xf>
    <xf numFmtId="0" fontId="19" fillId="0" borderId="0" xfId="4" applyFont="1" applyAlignment="1" applyProtection="1">
      <alignment horizontal="center"/>
      <protection locked="0"/>
    </xf>
    <xf numFmtId="0" fontId="19" fillId="0" borderId="0" xfId="0" applyFont="1" applyProtection="1">
      <protection locked="0"/>
    </xf>
    <xf numFmtId="172" fontId="14" fillId="0" borderId="0" xfId="0" applyNumberFormat="1" applyFont="1" applyBorder="1" applyProtection="1">
      <protection locked="0"/>
    </xf>
    <xf numFmtId="0" fontId="19" fillId="0" borderId="0" xfId="0" applyFont="1" applyAlignment="1" applyProtection="1">
      <alignment horizontal="center"/>
      <protection locked="0"/>
    </xf>
    <xf numFmtId="0" fontId="19" fillId="0" borderId="0" xfId="0" applyNumberFormat="1" applyFont="1" applyProtection="1">
      <protection locked="0"/>
    </xf>
    <xf numFmtId="172" fontId="14" fillId="0" borderId="0" xfId="0" applyNumberFormat="1" applyFont="1" applyFill="1" applyProtection="1">
      <protection locked="0"/>
    </xf>
    <xf numFmtId="0" fontId="21" fillId="0" borderId="0" xfId="0" applyFont="1" applyBorder="1" applyAlignment="1" applyProtection="1">
      <alignment vertical="center" wrapText="1"/>
      <protection locked="0"/>
    </xf>
    <xf numFmtId="0" fontId="21" fillId="0" borderId="0" xfId="0" applyFont="1" applyFill="1" applyBorder="1" applyAlignment="1" applyProtection="1">
      <alignment horizontal="center" vertical="center" wrapText="1"/>
      <protection locked="0"/>
    </xf>
    <xf numFmtId="0" fontId="14" fillId="0" borderId="0" xfId="0" applyFont="1" applyFill="1" applyProtection="1">
      <protection locked="0"/>
    </xf>
    <xf numFmtId="0" fontId="21" fillId="0" borderId="0" xfId="0" applyFont="1" applyFill="1" applyBorder="1" applyAlignment="1" applyProtection="1">
      <alignment vertical="center" wrapText="1"/>
      <protection locked="0"/>
    </xf>
    <xf numFmtId="0" fontId="19" fillId="0" borderId="0" xfId="0" applyFont="1" applyBorder="1" applyAlignment="1" applyProtection="1">
      <alignment horizontal="left" vertical="top"/>
      <protection locked="0"/>
    </xf>
    <xf numFmtId="0" fontId="14" fillId="0" borderId="42" xfId="0" applyNumberFormat="1" applyFont="1" applyFill="1" applyBorder="1" applyAlignment="1" applyProtection="1">
      <alignment horizontal="center"/>
      <protection locked="0"/>
    </xf>
    <xf numFmtId="0" fontId="16" fillId="0" borderId="42" xfId="0" applyNumberFormat="1" applyFont="1" applyFill="1" applyBorder="1" applyAlignment="1" applyProtection="1">
      <alignment horizontal="center"/>
      <protection locked="0"/>
    </xf>
    <xf numFmtId="179" fontId="16" fillId="0" borderId="42" xfId="1" applyNumberFormat="1" applyFont="1" applyFill="1" applyBorder="1" applyAlignment="1" applyProtection="1">
      <alignment horizontal="center"/>
      <protection locked="0"/>
    </xf>
    <xf numFmtId="0" fontId="16" fillId="0" borderId="68" xfId="0" applyNumberFormat="1" applyFont="1" applyBorder="1"/>
    <xf numFmtId="0" fontId="14" fillId="0" borderId="71" xfId="0" applyNumberFormat="1" applyFont="1" applyBorder="1" applyAlignment="1">
      <alignment horizontal="center"/>
    </xf>
    <xf numFmtId="178" fontId="16" fillId="0" borderId="63" xfId="0" applyNumberFormat="1" applyFont="1" applyFill="1" applyBorder="1"/>
    <xf numFmtId="178" fontId="16" fillId="0" borderId="10" xfId="0" applyNumberFormat="1" applyFont="1" applyFill="1" applyBorder="1"/>
    <xf numFmtId="178" fontId="16" fillId="0" borderId="4" xfId="0" applyNumberFormat="1" applyFont="1" applyFill="1" applyBorder="1"/>
    <xf numFmtId="178" fontId="14" fillId="0" borderId="46" xfId="0" applyNumberFormat="1" applyFont="1" applyFill="1" applyBorder="1" applyProtection="1"/>
    <xf numFmtId="178" fontId="14" fillId="0" borderId="51" xfId="0" applyNumberFormat="1" applyFont="1" applyFill="1" applyBorder="1" applyProtection="1"/>
    <xf numFmtId="0" fontId="14" fillId="0" borderId="68" xfId="0" applyNumberFormat="1" applyFont="1" applyFill="1" applyBorder="1" applyAlignment="1" applyProtection="1">
      <alignment horizontal="left" vertical="top" wrapText="1" indent="1"/>
    </xf>
    <xf numFmtId="168" fontId="14" fillId="0" borderId="97" xfId="1" applyNumberFormat="1" applyFont="1" applyFill="1" applyBorder="1" applyAlignment="1" applyProtection="1">
      <alignment horizontal="left" vertical="top" wrapText="1"/>
    </xf>
    <xf numFmtId="2" fontId="14" fillId="0" borderId="68" xfId="1" applyNumberFormat="1" applyFont="1" applyFill="1" applyBorder="1" applyAlignment="1" applyProtection="1">
      <alignment horizontal="center" vertical="top" wrapText="1"/>
    </xf>
    <xf numFmtId="2" fontId="14" fillId="0" borderId="71" xfId="1" applyNumberFormat="1" applyFont="1" applyFill="1" applyBorder="1" applyAlignment="1" applyProtection="1">
      <alignment horizontal="center" vertical="top" wrapText="1"/>
    </xf>
    <xf numFmtId="2" fontId="14" fillId="0" borderId="69" xfId="1" applyNumberFormat="1" applyFont="1" applyFill="1" applyBorder="1" applyAlignment="1" applyProtection="1">
      <alignment horizontal="center" vertical="top" wrapText="1"/>
    </xf>
    <xf numFmtId="2" fontId="14" fillId="0" borderId="98" xfId="1" applyNumberFormat="1" applyFont="1" applyFill="1" applyBorder="1" applyAlignment="1" applyProtection="1">
      <alignment horizontal="center" vertical="top" wrapText="1"/>
    </xf>
    <xf numFmtId="2" fontId="14" fillId="0" borderId="73" xfId="1" applyNumberFormat="1" applyFont="1" applyFill="1" applyBorder="1" applyAlignment="1" applyProtection="1">
      <alignment horizontal="center" vertical="top" wrapText="1"/>
    </xf>
    <xf numFmtId="2" fontId="14" fillId="0" borderId="72" xfId="1" applyNumberFormat="1" applyFont="1" applyFill="1" applyBorder="1" applyAlignment="1" applyProtection="1">
      <alignment horizontal="center" vertical="top" wrapText="1"/>
    </xf>
    <xf numFmtId="0" fontId="11" fillId="0" borderId="9" xfId="0" applyFont="1" applyFill="1" applyBorder="1" applyAlignment="1" applyProtection="1">
      <alignment horizontal="left"/>
    </xf>
    <xf numFmtId="0" fontId="9" fillId="0" borderId="0" xfId="0" applyFont="1" applyProtection="1"/>
    <xf numFmtId="0" fontId="16" fillId="0" borderId="41"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0" borderId="36"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8" fillId="0" borderId="3" xfId="0" applyNumberFormat="1" applyFont="1" applyBorder="1" applyProtection="1"/>
    <xf numFmtId="0" fontId="14" fillId="0" borderId="42" xfId="0" applyNumberFormat="1" applyFont="1" applyFill="1" applyBorder="1" applyAlignment="1" applyProtection="1">
      <alignment horizontal="center"/>
    </xf>
    <xf numFmtId="178" fontId="16" fillId="0" borderId="42" xfId="0" applyNumberFormat="1" applyFont="1" applyFill="1" applyBorder="1" applyProtection="1"/>
    <xf numFmtId="178" fontId="16" fillId="0" borderId="8" xfId="0" applyNumberFormat="1" applyFont="1" applyFill="1" applyBorder="1" applyProtection="1"/>
    <xf numFmtId="178" fontId="16" fillId="0" borderId="3" xfId="0" applyNumberFormat="1" applyFont="1" applyFill="1" applyBorder="1" applyProtection="1"/>
    <xf numFmtId="178" fontId="16" fillId="0" borderId="0" xfId="0" applyNumberFormat="1" applyFont="1" applyFill="1" applyBorder="1" applyProtection="1"/>
    <xf numFmtId="178" fontId="16" fillId="0" borderId="47" xfId="0" applyNumberFormat="1" applyFont="1" applyFill="1" applyBorder="1" applyProtection="1"/>
    <xf numFmtId="0" fontId="22" fillId="0" borderId="3" xfId="0" applyNumberFormat="1" applyFont="1" applyBorder="1" applyAlignment="1" applyProtection="1">
      <alignment horizontal="left"/>
    </xf>
    <xf numFmtId="0" fontId="14" fillId="0" borderId="3" xfId="0" applyNumberFormat="1" applyFont="1" applyBorder="1" applyAlignment="1" applyProtection="1">
      <alignment horizontal="left" indent="1"/>
    </xf>
    <xf numFmtId="0" fontId="16" fillId="0" borderId="3" xfId="0" applyNumberFormat="1" applyFont="1" applyBorder="1" applyAlignment="1" applyProtection="1">
      <alignment horizontal="left"/>
    </xf>
    <xf numFmtId="178" fontId="16" fillId="0" borderId="46" xfId="0" applyNumberFormat="1" applyFont="1" applyFill="1" applyBorder="1" applyProtection="1"/>
    <xf numFmtId="178" fontId="16" fillId="0" borderId="51" xfId="0" applyNumberFormat="1" applyFont="1" applyFill="1" applyBorder="1" applyProtection="1"/>
    <xf numFmtId="0" fontId="14" fillId="0" borderId="68" xfId="0" applyNumberFormat="1" applyFont="1" applyBorder="1" applyProtection="1"/>
    <xf numFmtId="0" fontId="14" fillId="0" borderId="71" xfId="0" applyNumberFormat="1" applyFont="1" applyFill="1" applyBorder="1" applyAlignment="1" applyProtection="1">
      <alignment horizontal="center"/>
    </xf>
    <xf numFmtId="178" fontId="14" fillId="0" borderId="71" xfId="0" applyNumberFormat="1" applyFont="1" applyFill="1" applyBorder="1" applyProtection="1"/>
    <xf numFmtId="178" fontId="14" fillId="0" borderId="72" xfId="0" applyNumberFormat="1" applyFont="1" applyFill="1" applyBorder="1" applyProtection="1"/>
    <xf numFmtId="178" fontId="14" fillId="0" borderId="68" xfId="0" applyNumberFormat="1" applyFont="1" applyFill="1" applyBorder="1" applyProtection="1"/>
    <xf numFmtId="178" fontId="14" fillId="0" borderId="73" xfId="0" applyNumberFormat="1" applyFont="1" applyFill="1" applyBorder="1" applyProtection="1"/>
    <xf numFmtId="178" fontId="14" fillId="0" borderId="70" xfId="0" applyNumberFormat="1" applyFont="1" applyFill="1" applyBorder="1" applyProtection="1"/>
    <xf numFmtId="178" fontId="14" fillId="0" borderId="79" xfId="0" applyNumberFormat="1" applyFont="1" applyFill="1" applyBorder="1" applyProtection="1"/>
    <xf numFmtId="0" fontId="14" fillId="0" borderId="68" xfId="0" applyNumberFormat="1" applyFont="1" applyBorder="1" applyAlignment="1" applyProtection="1">
      <alignment horizontal="left" indent="1"/>
    </xf>
    <xf numFmtId="0" fontId="14" fillId="0" borderId="3" xfId="0" applyNumberFormat="1" applyFont="1" applyBorder="1" applyProtection="1"/>
    <xf numFmtId="178" fontId="14" fillId="0" borderId="76" xfId="0" applyNumberFormat="1" applyFont="1" applyFill="1" applyBorder="1" applyProtection="1"/>
    <xf numFmtId="0" fontId="14" fillId="0" borderId="36" xfId="0" applyNumberFormat="1" applyFont="1" applyFill="1" applyBorder="1" applyAlignment="1" applyProtection="1">
      <alignment horizontal="center"/>
    </xf>
    <xf numFmtId="178" fontId="16" fillId="0" borderId="53" xfId="0" applyNumberFormat="1" applyFont="1" applyFill="1" applyBorder="1" applyProtection="1"/>
    <xf numFmtId="178" fontId="16" fillId="0" borderId="55" xfId="0" applyNumberFormat="1" applyFont="1" applyFill="1" applyBorder="1" applyProtection="1"/>
    <xf numFmtId="178" fontId="16" fillId="0" borderId="52" xfId="0" applyNumberFormat="1" applyFont="1" applyFill="1" applyBorder="1" applyProtection="1"/>
    <xf numFmtId="178" fontId="16" fillId="0" borderId="54" xfId="0" applyNumberFormat="1" applyFont="1" applyFill="1" applyBorder="1" applyProtection="1"/>
    <xf numFmtId="178" fontId="16" fillId="0" borderId="56" xfId="0" applyNumberFormat="1" applyFont="1" applyFill="1" applyBorder="1" applyProtection="1"/>
    <xf numFmtId="0" fontId="20" fillId="0" borderId="0" xfId="0" applyFont="1" applyProtection="1"/>
    <xf numFmtId="0" fontId="19" fillId="0" borderId="0" xfId="0" applyFont="1" applyFill="1" applyBorder="1" applyProtection="1"/>
    <xf numFmtId="0" fontId="14" fillId="0" borderId="0" xfId="0" applyFont="1" applyFill="1" applyBorder="1" applyProtection="1"/>
    <xf numFmtId="0" fontId="16" fillId="0" borderId="5" xfId="0" applyFont="1" applyFill="1" applyBorder="1" applyAlignment="1">
      <alignment horizontal="left" vertical="center"/>
    </xf>
    <xf numFmtId="0" fontId="16" fillId="0" borderId="1" xfId="0" applyNumberFormat="1" applyFont="1" applyBorder="1" applyAlignment="1">
      <alignment wrapText="1"/>
    </xf>
    <xf numFmtId="0" fontId="14" fillId="0" borderId="1" xfId="0" applyNumberFormat="1" applyFont="1" applyBorder="1" applyAlignment="1">
      <alignment horizontal="left" wrapText="1" indent="1"/>
    </xf>
    <xf numFmtId="0" fontId="14" fillId="0" borderId="1" xfId="0" applyNumberFormat="1" applyFont="1" applyBorder="1"/>
    <xf numFmtId="0" fontId="18" fillId="0" borderId="11" xfId="0" applyFont="1" applyBorder="1"/>
    <xf numFmtId="0" fontId="14" fillId="0" borderId="1" xfId="0" applyFont="1" applyBorder="1" applyAlignment="1">
      <alignment horizontal="left" indent="1"/>
    </xf>
    <xf numFmtId="0" fontId="14" fillId="0" borderId="5" xfId="0" applyFont="1" applyFill="1" applyBorder="1"/>
    <xf numFmtId="0" fontId="7" fillId="9" borderId="0" xfId="0" applyFont="1" applyFill="1"/>
    <xf numFmtId="0" fontId="16" fillId="0" borderId="3" xfId="0" applyFont="1" applyFill="1" applyBorder="1" applyAlignment="1" applyProtection="1">
      <alignment horizontal="left" indent="1"/>
    </xf>
    <xf numFmtId="0" fontId="14" fillId="0" borderId="3" xfId="0" applyFont="1" applyFill="1" applyBorder="1" applyAlignment="1" applyProtection="1">
      <alignment horizontal="left" indent="1"/>
    </xf>
    <xf numFmtId="167" fontId="14" fillId="0" borderId="0" xfId="1" applyFont="1" applyFill="1" applyBorder="1" applyAlignment="1">
      <alignment horizontal="left"/>
    </xf>
    <xf numFmtId="0" fontId="14" fillId="0" borderId="3" xfId="0" applyNumberFormat="1" applyFont="1" applyFill="1" applyBorder="1" applyAlignment="1" applyProtection="1">
      <alignment horizontal="left" indent="1"/>
    </xf>
    <xf numFmtId="179" fontId="19" fillId="0" borderId="42" xfId="1" applyNumberFormat="1" applyFont="1" applyFill="1" applyBorder="1" applyProtection="1"/>
    <xf numFmtId="179" fontId="19" fillId="0" borderId="8" xfId="1" applyNumberFormat="1" applyFont="1" applyFill="1" applyBorder="1" applyProtection="1"/>
    <xf numFmtId="179" fontId="19" fillId="0" borderId="3" xfId="1" applyNumberFormat="1" applyFont="1" applyFill="1" applyBorder="1" applyProtection="1"/>
    <xf numFmtId="179" fontId="19" fillId="0" borderId="76" xfId="1" applyNumberFormat="1" applyFont="1" applyFill="1" applyBorder="1" applyProtection="1"/>
    <xf numFmtId="179" fontId="19" fillId="0" borderId="0" xfId="1" applyNumberFormat="1" applyFont="1" applyFill="1" applyBorder="1" applyProtection="1"/>
    <xf numFmtId="0" fontId="4" fillId="0" borderId="0" xfId="0" applyFont="1" applyProtection="1"/>
    <xf numFmtId="0" fontId="18" fillId="0" borderId="3" xfId="0" applyFont="1" applyFill="1" applyBorder="1" applyAlignment="1">
      <alignment horizontal="left"/>
    </xf>
    <xf numFmtId="0" fontId="24" fillId="0" borderId="0" xfId="0" applyFont="1"/>
    <xf numFmtId="0" fontId="16" fillId="0" borderId="3" xfId="0" applyFont="1" applyBorder="1" applyAlignment="1"/>
    <xf numFmtId="0" fontId="18" fillId="0" borderId="3" xfId="0" applyFont="1" applyBorder="1" applyAlignment="1"/>
    <xf numFmtId="0" fontId="14" fillId="0" borderId="42" xfId="0" applyNumberFormat="1" applyFont="1" applyBorder="1" applyAlignment="1" applyProtection="1">
      <alignment horizontal="center"/>
    </xf>
    <xf numFmtId="0" fontId="16" fillId="0" borderId="3" xfId="0" applyNumberFormat="1" applyFont="1" applyBorder="1" applyProtection="1"/>
    <xf numFmtId="0" fontId="21" fillId="0" borderId="42" xfId="0" applyNumberFormat="1" applyFont="1" applyBorder="1" applyAlignment="1" applyProtection="1">
      <alignment horizontal="center"/>
    </xf>
    <xf numFmtId="0" fontId="16" fillId="0" borderId="52" xfId="0" applyNumberFormat="1" applyFont="1" applyBorder="1" applyProtection="1"/>
    <xf numFmtId="0" fontId="14" fillId="0" borderId="53" xfId="0" applyNumberFormat="1" applyFont="1" applyBorder="1" applyAlignment="1" applyProtection="1">
      <alignment horizontal="center"/>
    </xf>
    <xf numFmtId="0" fontId="20" fillId="0" borderId="0" xfId="0" applyFont="1" applyBorder="1" applyAlignment="1" applyProtection="1">
      <alignment horizontal="left"/>
    </xf>
    <xf numFmtId="0" fontId="19" fillId="0" borderId="0" xfId="0" applyFont="1" applyBorder="1" applyAlignment="1" applyProtection="1">
      <alignment horizontal="center"/>
    </xf>
    <xf numFmtId="0" fontId="19" fillId="0" borderId="0" xfId="0" applyFont="1" applyBorder="1" applyProtection="1"/>
    <xf numFmtId="0" fontId="17" fillId="0" borderId="0" xfId="0" applyFont="1" applyBorder="1" applyProtection="1"/>
    <xf numFmtId="172" fontId="17" fillId="0" borderId="0" xfId="0" applyNumberFormat="1" applyFont="1" applyBorder="1" applyProtection="1"/>
    <xf numFmtId="0" fontId="19" fillId="0" borderId="0" xfId="0" quotePrefix="1" applyFont="1" applyBorder="1" applyProtection="1"/>
    <xf numFmtId="0" fontId="16" fillId="0" borderId="45" xfId="0" applyFont="1" applyFill="1" applyBorder="1" applyAlignment="1" applyProtection="1">
      <alignment horizontal="center" vertical="center"/>
    </xf>
    <xf numFmtId="0" fontId="16" fillId="0" borderId="43" xfId="0" applyFont="1" applyFill="1" applyBorder="1" applyAlignment="1" applyProtection="1">
      <alignment vertical="center"/>
    </xf>
    <xf numFmtId="0" fontId="16" fillId="0" borderId="4" xfId="0" applyFont="1" applyFill="1" applyBorder="1" applyAlignment="1" applyProtection="1">
      <alignment horizontal="left" vertical="center"/>
    </xf>
    <xf numFmtId="0" fontId="16" fillId="0" borderId="36" xfId="0" applyFont="1" applyFill="1" applyBorder="1" applyAlignment="1" applyProtection="1">
      <alignment vertical="center"/>
    </xf>
    <xf numFmtId="0" fontId="18" fillId="0" borderId="3" xfId="0" applyFont="1" applyBorder="1" applyProtection="1"/>
    <xf numFmtId="0" fontId="16" fillId="0" borderId="43" xfId="0" applyFont="1" applyBorder="1" applyAlignment="1" applyProtection="1">
      <alignment horizontal="center"/>
    </xf>
    <xf numFmtId="0" fontId="16" fillId="0" borderId="7" xfId="0" applyFont="1" applyBorder="1" applyAlignment="1" applyProtection="1">
      <alignment horizontal="center"/>
    </xf>
    <xf numFmtId="0" fontId="16" fillId="0" borderId="12" xfId="0" applyFont="1" applyBorder="1" applyAlignment="1" applyProtection="1">
      <alignment horizontal="center"/>
    </xf>
    <xf numFmtId="0" fontId="16" fillId="0" borderId="6" xfId="0" applyFont="1" applyBorder="1" applyAlignment="1" applyProtection="1">
      <alignment horizontal="center"/>
    </xf>
    <xf numFmtId="0" fontId="16" fillId="0" borderId="45" xfId="0" applyFont="1" applyBorder="1" applyAlignment="1" applyProtection="1">
      <alignment horizontal="center"/>
    </xf>
    <xf numFmtId="0" fontId="14" fillId="0" borderId="3" xfId="0" applyFont="1" applyBorder="1" applyAlignment="1" applyProtection="1">
      <alignment horizontal="left" indent="1"/>
    </xf>
    <xf numFmtId="178" fontId="14" fillId="0" borderId="42" xfId="0" applyNumberFormat="1" applyFont="1" applyBorder="1" applyAlignment="1" applyProtection="1">
      <alignment horizontal="right"/>
    </xf>
    <xf numFmtId="178" fontId="14" fillId="0" borderId="8" xfId="0" applyNumberFormat="1" applyFont="1" applyBorder="1" applyAlignment="1" applyProtection="1">
      <alignment horizontal="right"/>
    </xf>
    <xf numFmtId="178" fontId="14" fillId="0" borderId="3" xfId="0" applyNumberFormat="1" applyFont="1" applyBorder="1" applyAlignment="1" applyProtection="1">
      <alignment horizontal="right"/>
    </xf>
    <xf numFmtId="178" fontId="14" fillId="0" borderId="0" xfId="0" applyNumberFormat="1" applyFont="1" applyBorder="1" applyAlignment="1" applyProtection="1">
      <alignment horizontal="right"/>
    </xf>
    <xf numFmtId="178" fontId="14" fillId="0" borderId="47" xfId="0" applyNumberFormat="1" applyFont="1" applyBorder="1" applyAlignment="1" applyProtection="1">
      <alignment horizontal="right"/>
    </xf>
    <xf numFmtId="0" fontId="16" fillId="0" borderId="3" xfId="0" applyFont="1" applyBorder="1" applyAlignment="1" applyProtection="1">
      <alignment horizontal="left"/>
    </xf>
    <xf numFmtId="0" fontId="14" fillId="0" borderId="3" xfId="0" applyFont="1" applyBorder="1" applyProtection="1"/>
    <xf numFmtId="178" fontId="14" fillId="0" borderId="42" xfId="0" applyNumberFormat="1" applyFont="1" applyBorder="1" applyProtection="1"/>
    <xf numFmtId="178" fontId="14" fillId="0" borderId="8" xfId="0" applyNumberFormat="1" applyFont="1" applyBorder="1" applyProtection="1"/>
    <xf numFmtId="178" fontId="14" fillId="0" borderId="3" xfId="0" applyNumberFormat="1" applyFont="1" applyBorder="1" applyProtection="1"/>
    <xf numFmtId="178" fontId="14" fillId="0" borderId="0" xfId="0" applyNumberFormat="1" applyFont="1" applyBorder="1" applyProtection="1"/>
    <xf numFmtId="178" fontId="14" fillId="0" borderId="47" xfId="0" applyNumberFormat="1" applyFont="1" applyBorder="1" applyProtection="1"/>
    <xf numFmtId="0" fontId="16" fillId="0" borderId="52" xfId="0" applyFont="1" applyBorder="1" applyProtection="1"/>
    <xf numFmtId="178" fontId="16" fillId="0" borderId="55" xfId="0" applyNumberFormat="1" applyFont="1" applyBorder="1" applyProtection="1"/>
    <xf numFmtId="178" fontId="16" fillId="0" borderId="52" xfId="0" applyNumberFormat="1" applyFont="1" applyBorder="1" applyProtection="1"/>
    <xf numFmtId="178" fontId="16" fillId="0" borderId="53" xfId="0" applyNumberFormat="1" applyFont="1" applyBorder="1" applyProtection="1"/>
    <xf numFmtId="178" fontId="16" fillId="0" borderId="54" xfId="0" applyNumberFormat="1" applyFont="1" applyBorder="1" applyProtection="1"/>
    <xf numFmtId="178" fontId="16" fillId="0" borderId="56" xfId="0" applyNumberFormat="1" applyFont="1" applyBorder="1" applyProtection="1"/>
    <xf numFmtId="0" fontId="20" fillId="0" borderId="0" xfId="0" applyFont="1" applyBorder="1" applyProtection="1"/>
    <xf numFmtId="0" fontId="14" fillId="0" borderId="0" xfId="0" applyFont="1" applyBorder="1" applyAlignment="1" applyProtection="1">
      <alignment horizontal="center"/>
    </xf>
    <xf numFmtId="0" fontId="16" fillId="0" borderId="0" xfId="0" applyFont="1" applyFill="1" applyBorder="1" applyProtection="1"/>
    <xf numFmtId="172" fontId="16" fillId="0" borderId="0" xfId="0" applyNumberFormat="1" applyFont="1" applyFill="1" applyBorder="1" applyProtection="1"/>
    <xf numFmtId="0" fontId="16" fillId="0" borderId="0" xfId="0" applyFont="1" applyBorder="1" applyProtection="1"/>
    <xf numFmtId="172" fontId="16" fillId="0" borderId="0" xfId="0" applyNumberFormat="1" applyFont="1" applyBorder="1" applyProtection="1"/>
    <xf numFmtId="0" fontId="19" fillId="0" borderId="0" xfId="0" applyFont="1" applyBorder="1" applyAlignment="1" applyProtection="1">
      <alignment horizontal="left"/>
    </xf>
    <xf numFmtId="0" fontId="19" fillId="0" borderId="0" xfId="0" applyFont="1" applyBorder="1" applyAlignment="1" applyProtection="1">
      <alignment horizontal="right"/>
    </xf>
    <xf numFmtId="168" fontId="14" fillId="0" borderId="0" xfId="1" applyNumberFormat="1" applyFont="1" applyProtection="1"/>
    <xf numFmtId="0" fontId="14" fillId="0" borderId="4" xfId="0" applyFont="1" applyBorder="1" applyProtection="1"/>
    <xf numFmtId="0" fontId="14" fillId="0" borderId="36" xfId="0" applyNumberFormat="1" applyFont="1" applyBorder="1" applyAlignment="1" applyProtection="1">
      <alignment horizontal="center"/>
    </xf>
    <xf numFmtId="0" fontId="18" fillId="0" borderId="12" xfId="0" applyFont="1" applyBorder="1" applyProtection="1"/>
    <xf numFmtId="0" fontId="14" fillId="0" borderId="43" xfId="0" applyNumberFormat="1" applyFont="1" applyBorder="1" applyAlignment="1" applyProtection="1">
      <alignment horizontal="center"/>
    </xf>
    <xf numFmtId="0" fontId="16" fillId="0" borderId="42" xfId="0" applyNumberFormat="1" applyFont="1" applyBorder="1" applyAlignment="1" applyProtection="1">
      <alignment horizontal="center"/>
    </xf>
    <xf numFmtId="0" fontId="20" fillId="0" borderId="0" xfId="0" applyNumberFormat="1" applyFont="1" applyBorder="1" applyProtection="1"/>
    <xf numFmtId="0" fontId="19" fillId="0" borderId="0" xfId="0" applyNumberFormat="1" applyFont="1" applyBorder="1" applyProtection="1"/>
    <xf numFmtId="0" fontId="19" fillId="0" borderId="3" xfId="0" applyFont="1" applyBorder="1" applyAlignment="1" applyProtection="1">
      <alignment horizontal="right"/>
    </xf>
    <xf numFmtId="0" fontId="14" fillId="0" borderId="0" xfId="0" applyFont="1" applyBorder="1" applyProtection="1"/>
    <xf numFmtId="0" fontId="19" fillId="0" borderId="0" xfId="0" quotePrefix="1" applyFont="1" applyBorder="1" applyAlignment="1" applyProtection="1">
      <alignment horizontal="left" wrapText="1"/>
    </xf>
    <xf numFmtId="0" fontId="19" fillId="0" borderId="0" xfId="0" applyFont="1" applyFill="1" applyBorder="1" applyAlignment="1" applyProtection="1">
      <alignment horizontal="right"/>
    </xf>
    <xf numFmtId="0" fontId="17" fillId="0" borderId="3" xfId="0" applyNumberFormat="1" applyFont="1" applyFill="1" applyBorder="1" applyAlignment="1" applyProtection="1">
      <alignment horizontal="left" indent="1"/>
    </xf>
    <xf numFmtId="0" fontId="14" fillId="0" borderId="3" xfId="0" applyNumberFormat="1" applyFont="1" applyFill="1" applyBorder="1" applyAlignment="1" applyProtection="1">
      <alignment horizontal="left" indent="2"/>
    </xf>
    <xf numFmtId="178" fontId="14" fillId="0" borderId="47" xfId="0" applyNumberFormat="1" applyFont="1" applyBorder="1" applyAlignment="1">
      <alignment horizontal="right"/>
    </xf>
    <xf numFmtId="178" fontId="14" fillId="0" borderId="76" xfId="0" applyNumberFormat="1" applyFont="1" applyBorder="1" applyAlignment="1">
      <alignment horizontal="right"/>
    </xf>
    <xf numFmtId="0" fontId="14" fillId="0" borderId="74" xfId="0" applyFont="1" applyBorder="1" applyAlignment="1">
      <alignment horizontal="center"/>
    </xf>
    <xf numFmtId="0" fontId="14" fillId="0" borderId="3" xfId="0" applyFont="1" applyFill="1" applyBorder="1" applyAlignment="1">
      <alignment horizontal="left" indent="2"/>
    </xf>
    <xf numFmtId="178" fontId="16" fillId="0" borderId="53" xfId="0" applyNumberFormat="1" applyFont="1" applyBorder="1" applyAlignment="1">
      <alignment vertical="top"/>
    </xf>
    <xf numFmtId="178" fontId="16" fillId="0" borderId="88" xfId="0" applyNumberFormat="1" applyFont="1" applyBorder="1" applyAlignment="1">
      <alignment vertical="top"/>
    </xf>
    <xf numFmtId="0" fontId="16" fillId="0" borderId="0" xfId="0" applyNumberFormat="1" applyFont="1" applyBorder="1" applyAlignment="1">
      <alignment vertical="center" wrapText="1"/>
    </xf>
    <xf numFmtId="0" fontId="14" fillId="0" borderId="0" xfId="0" quotePrefix="1" applyNumberFormat="1" applyFont="1" applyBorder="1" applyAlignment="1">
      <alignment horizontal="center" vertical="center" wrapText="1"/>
    </xf>
    <xf numFmtId="0" fontId="16" fillId="0" borderId="3" xfId="0" applyNumberFormat="1" applyFont="1" applyBorder="1" applyAlignment="1">
      <alignment vertical="center" wrapText="1"/>
    </xf>
    <xf numFmtId="0" fontId="14" fillId="0" borderId="76" xfId="0" quotePrefix="1" applyNumberFormat="1" applyFont="1" applyBorder="1" applyAlignment="1">
      <alignment horizontal="center" vertical="center" wrapText="1"/>
    </xf>
    <xf numFmtId="0" fontId="14" fillId="0" borderId="79" xfId="0" quotePrefix="1" applyNumberFormat="1" applyFont="1" applyBorder="1" applyAlignment="1">
      <alignment horizontal="center" vertical="center" wrapText="1"/>
    </xf>
    <xf numFmtId="0" fontId="16" fillId="0" borderId="47" xfId="0" applyFont="1" applyBorder="1"/>
    <xf numFmtId="0" fontId="19" fillId="0" borderId="3" xfId="0" applyNumberFormat="1" applyFont="1" applyBorder="1" applyAlignment="1">
      <alignment horizontal="left" indent="2"/>
    </xf>
    <xf numFmtId="178" fontId="14" fillId="0" borderId="42" xfId="0" applyNumberFormat="1" applyFont="1" applyFill="1" applyBorder="1" applyProtection="1">
      <protection locked="0"/>
    </xf>
    <xf numFmtId="178" fontId="14" fillId="0" borderId="47" xfId="0" applyNumberFormat="1" applyFont="1" applyFill="1" applyBorder="1" applyProtection="1">
      <protection locked="0"/>
    </xf>
    <xf numFmtId="178" fontId="19" fillId="0" borderId="46" xfId="0" applyNumberFormat="1" applyFont="1" applyFill="1" applyBorder="1" applyProtection="1"/>
    <xf numFmtId="178" fontId="19" fillId="0" borderId="49" xfId="0" applyNumberFormat="1" applyFont="1" applyFill="1" applyBorder="1" applyProtection="1"/>
    <xf numFmtId="178" fontId="19" fillId="0" borderId="50" xfId="0" applyNumberFormat="1" applyFont="1" applyFill="1" applyBorder="1" applyProtection="1"/>
    <xf numFmtId="178" fontId="19" fillId="0" borderId="48" xfId="0" applyNumberFormat="1" applyFont="1" applyFill="1" applyBorder="1" applyProtection="1"/>
    <xf numFmtId="178" fontId="19" fillId="0" borderId="51" xfId="0" applyNumberFormat="1" applyFont="1" applyFill="1" applyBorder="1" applyProtection="1"/>
    <xf numFmtId="0" fontId="18" fillId="0" borderId="3" xfId="0" applyNumberFormat="1" applyFont="1" applyFill="1" applyBorder="1" applyAlignment="1">
      <alignment horizontal="left" indent="1"/>
    </xf>
    <xf numFmtId="179" fontId="16" fillId="0" borderId="100" xfId="1" applyNumberFormat="1" applyFont="1" applyBorder="1"/>
    <xf numFmtId="179" fontId="16" fillId="0" borderId="56" xfId="1" applyNumberFormat="1" applyFont="1" applyBorder="1"/>
    <xf numFmtId="179" fontId="16" fillId="0" borderId="101" xfId="1" applyNumberFormat="1" applyFont="1" applyBorder="1"/>
    <xf numFmtId="183" fontId="14" fillId="0" borderId="43" xfId="6" applyNumberFormat="1" applyFont="1" applyBorder="1" applyAlignment="1">
      <alignment horizontal="center"/>
    </xf>
    <xf numFmtId="183" fontId="14" fillId="0" borderId="75" xfId="6" applyNumberFormat="1" applyFont="1" applyBorder="1" applyAlignment="1">
      <alignment horizontal="center"/>
    </xf>
    <xf numFmtId="183" fontId="14" fillId="0" borderId="3" xfId="6" applyNumberFormat="1" applyFont="1" applyBorder="1" applyAlignment="1">
      <alignment horizontal="center"/>
    </xf>
    <xf numFmtId="183" fontId="14" fillId="0" borderId="42" xfId="6" applyNumberFormat="1" applyFont="1" applyBorder="1" applyAlignment="1">
      <alignment horizontal="center"/>
    </xf>
    <xf numFmtId="183" fontId="14" fillId="0" borderId="76" xfId="6" applyNumberFormat="1" applyFont="1" applyBorder="1" applyAlignment="1">
      <alignment horizontal="center"/>
    </xf>
    <xf numFmtId="183" fontId="14" fillId="0" borderId="0" xfId="6" applyNumberFormat="1" applyFont="1" applyBorder="1" applyAlignment="1">
      <alignment horizontal="center"/>
    </xf>
    <xf numFmtId="183" fontId="14" fillId="0" borderId="8" xfId="6" applyNumberFormat="1" applyFont="1" applyBorder="1" applyAlignment="1">
      <alignment horizontal="center"/>
    </xf>
    <xf numFmtId="0" fontId="14" fillId="0" borderId="4" xfId="0" applyNumberFormat="1" applyFont="1" applyBorder="1" applyAlignment="1">
      <alignment horizontal="left" indent="1"/>
    </xf>
    <xf numFmtId="0" fontId="14" fillId="0" borderId="4" xfId="0" applyFont="1" applyBorder="1" applyAlignment="1">
      <alignment horizontal="left" indent="1"/>
    </xf>
    <xf numFmtId="178" fontId="14" fillId="0" borderId="51" xfId="0" applyNumberFormat="1" applyFont="1" applyFill="1" applyBorder="1"/>
    <xf numFmtId="178" fontId="14" fillId="0" borderId="80" xfId="0" applyNumberFormat="1" applyFont="1" applyFill="1" applyBorder="1"/>
    <xf numFmtId="178" fontId="14" fillId="0" borderId="79" xfId="0" applyNumberFormat="1" applyFont="1" applyFill="1" applyBorder="1"/>
    <xf numFmtId="178" fontId="14" fillId="0" borderId="48" xfId="0" applyNumberFormat="1" applyFont="1" applyFill="1" applyBorder="1"/>
    <xf numFmtId="178" fontId="14" fillId="0" borderId="63" xfId="0" applyNumberFormat="1" applyFont="1" applyFill="1" applyBorder="1"/>
    <xf numFmtId="178" fontId="14" fillId="0" borderId="60" xfId="0" applyNumberFormat="1" applyFont="1" applyFill="1" applyBorder="1"/>
    <xf numFmtId="178" fontId="14" fillId="0" borderId="102" xfId="0" applyNumberFormat="1" applyFont="1" applyFill="1" applyBorder="1"/>
    <xf numFmtId="178" fontId="14" fillId="0" borderId="86" xfId="0" applyNumberFormat="1" applyFont="1" applyFill="1" applyBorder="1"/>
    <xf numFmtId="178" fontId="14" fillId="0" borderId="59" xfId="0" applyNumberFormat="1" applyFont="1" applyFill="1" applyBorder="1"/>
    <xf numFmtId="178" fontId="14" fillId="0" borderId="70" xfId="0" applyNumberFormat="1" applyFont="1" applyFill="1" applyBorder="1"/>
    <xf numFmtId="178" fontId="14" fillId="0" borderId="71" xfId="0" applyNumberFormat="1" applyFont="1" applyFill="1" applyBorder="1"/>
    <xf numFmtId="178" fontId="14" fillId="0" borderId="69" xfId="0" applyNumberFormat="1" applyFont="1" applyFill="1" applyBorder="1"/>
    <xf numFmtId="178" fontId="14" fillId="0" borderId="97" xfId="0" applyNumberFormat="1" applyFont="1" applyFill="1" applyBorder="1"/>
    <xf numFmtId="178" fontId="14" fillId="0" borderId="73" xfId="0" applyNumberFormat="1" applyFont="1" applyFill="1" applyBorder="1"/>
    <xf numFmtId="0" fontId="14" fillId="0" borderId="47" xfId="0" applyNumberFormat="1" applyFont="1" applyFill="1" applyBorder="1" applyAlignment="1" applyProtection="1">
      <alignment horizontal="left" indent="2"/>
    </xf>
    <xf numFmtId="178" fontId="14" fillId="0" borderId="8" xfId="0" applyNumberFormat="1" applyFont="1" applyFill="1" applyBorder="1" applyProtection="1">
      <protection locked="0"/>
    </xf>
    <xf numFmtId="178" fontId="14" fillId="0" borderId="3" xfId="0" applyNumberFormat="1" applyFont="1" applyFill="1" applyBorder="1" applyProtection="1">
      <protection locked="0"/>
    </xf>
    <xf numFmtId="178" fontId="14" fillId="0" borderId="0" xfId="0" applyNumberFormat="1" applyFont="1" applyFill="1" applyBorder="1" applyProtection="1">
      <protection locked="0"/>
    </xf>
    <xf numFmtId="0" fontId="14" fillId="0" borderId="70" xfId="0" applyNumberFormat="1" applyFont="1" applyBorder="1" applyAlignment="1" applyProtection="1">
      <alignment horizontal="left" indent="1"/>
    </xf>
    <xf numFmtId="0" fontId="18" fillId="0" borderId="47" xfId="0" applyNumberFormat="1" applyFont="1" applyBorder="1" applyProtection="1"/>
    <xf numFmtId="0" fontId="16" fillId="0" borderId="68" xfId="0" applyNumberFormat="1" applyFont="1" applyBorder="1" applyProtection="1"/>
    <xf numFmtId="178" fontId="16" fillId="0" borderId="60" xfId="0" applyNumberFormat="1" applyFont="1" applyFill="1" applyBorder="1" applyProtection="1"/>
    <xf numFmtId="178" fontId="16" fillId="0" borderId="61" xfId="0" applyNumberFormat="1" applyFont="1" applyFill="1" applyBorder="1" applyProtection="1"/>
    <xf numFmtId="178" fontId="16" fillId="0" borderId="62" xfId="0" applyNumberFormat="1" applyFont="1" applyFill="1" applyBorder="1" applyProtection="1"/>
    <xf numFmtId="178" fontId="16" fillId="0" borderId="59" xfId="0" applyNumberFormat="1" applyFont="1" applyFill="1" applyBorder="1" applyProtection="1"/>
    <xf numFmtId="178" fontId="16" fillId="0" borderId="63" xfId="0" applyNumberFormat="1" applyFont="1" applyFill="1" applyBorder="1" applyProtection="1"/>
    <xf numFmtId="178" fontId="14" fillId="0" borderId="63" xfId="0" applyNumberFormat="1" applyFont="1" applyFill="1" applyBorder="1" applyAlignment="1">
      <alignment vertical="top"/>
    </xf>
    <xf numFmtId="178" fontId="14" fillId="0" borderId="60" xfId="0" applyNumberFormat="1" applyFont="1" applyFill="1" applyBorder="1" applyAlignment="1">
      <alignment vertical="top"/>
    </xf>
    <xf numFmtId="178" fontId="14" fillId="0" borderId="102" xfId="0" applyNumberFormat="1" applyFont="1" applyFill="1" applyBorder="1" applyAlignment="1">
      <alignment vertical="top"/>
    </xf>
    <xf numFmtId="178" fontId="14" fillId="0" borderId="86" xfId="0" applyNumberFormat="1" applyFont="1" applyFill="1" applyBorder="1" applyAlignment="1">
      <alignment vertical="top"/>
    </xf>
    <xf numFmtId="178" fontId="14" fillId="0" borderId="59" xfId="0" applyNumberFormat="1" applyFont="1" applyFill="1" applyBorder="1" applyAlignment="1">
      <alignment vertical="top"/>
    </xf>
    <xf numFmtId="0" fontId="14" fillId="0" borderId="1" xfId="0" applyFont="1" applyFill="1" applyBorder="1" applyAlignment="1">
      <alignment horizontal="left" indent="2"/>
    </xf>
    <xf numFmtId="178" fontId="16" fillId="0" borderId="46" xfId="0" applyNumberFormat="1" applyFont="1" applyFill="1" applyBorder="1" applyAlignment="1">
      <alignment horizontal="center"/>
    </xf>
    <xf numFmtId="178" fontId="16" fillId="0" borderId="49" xfId="0" applyNumberFormat="1" applyFont="1" applyFill="1" applyBorder="1" applyAlignment="1">
      <alignment horizontal="right"/>
    </xf>
    <xf numFmtId="178" fontId="16" fillId="0" borderId="50" xfId="0" applyNumberFormat="1" applyFont="1" applyFill="1" applyBorder="1" applyAlignment="1">
      <alignment horizontal="right"/>
    </xf>
    <xf numFmtId="178" fontId="16" fillId="0" borderId="46" xfId="0" applyNumberFormat="1" applyFont="1" applyFill="1" applyBorder="1" applyAlignment="1">
      <alignment horizontal="right"/>
    </xf>
    <xf numFmtId="178" fontId="16" fillId="0" borderId="48" xfId="0" applyNumberFormat="1" applyFont="1" applyFill="1" applyBorder="1" applyAlignment="1">
      <alignment horizontal="right"/>
    </xf>
    <xf numFmtId="0" fontId="14" fillId="0" borderId="67" xfId="0" applyFont="1" applyFill="1" applyBorder="1" applyAlignment="1">
      <alignment horizontal="left" vertical="top" wrapText="1"/>
    </xf>
    <xf numFmtId="0" fontId="16" fillId="0" borderId="64" xfId="0" applyFont="1" applyBorder="1" applyAlignment="1">
      <alignment vertical="center" wrapText="1"/>
    </xf>
    <xf numFmtId="178" fontId="14" fillId="0" borderId="51" xfId="0" applyNumberFormat="1" applyFont="1" applyFill="1" applyBorder="1" applyAlignment="1">
      <alignment vertical="top"/>
    </xf>
    <xf numFmtId="178" fontId="14" fillId="0" borderId="46" xfId="0" applyNumberFormat="1" applyFont="1" applyFill="1" applyBorder="1" applyAlignment="1">
      <alignment vertical="top"/>
    </xf>
    <xf numFmtId="178" fontId="14" fillId="0" borderId="80" xfId="0" applyNumberFormat="1" applyFont="1" applyFill="1" applyBorder="1" applyAlignment="1">
      <alignment vertical="top"/>
    </xf>
    <xf numFmtId="178" fontId="14" fillId="0" borderId="79" xfId="0" applyNumberFormat="1" applyFont="1" applyFill="1" applyBorder="1" applyAlignment="1">
      <alignment vertical="top"/>
    </xf>
    <xf numFmtId="178" fontId="14" fillId="0" borderId="48" xfId="0" applyNumberFormat="1" applyFont="1" applyFill="1" applyBorder="1" applyAlignment="1">
      <alignment vertical="top"/>
    </xf>
    <xf numFmtId="0" fontId="16" fillId="0" borderId="62" xfId="0" applyNumberFormat="1" applyFont="1" applyBorder="1" applyProtection="1"/>
    <xf numFmtId="0" fontId="14" fillId="0" borderId="60" xfId="0" applyNumberFormat="1" applyFont="1" applyBorder="1" applyAlignment="1" applyProtection="1">
      <alignment horizontal="center"/>
    </xf>
    <xf numFmtId="0" fontId="16" fillId="0" borderId="62" xfId="0" applyFont="1" applyBorder="1" applyAlignment="1" applyProtection="1">
      <alignment horizontal="left"/>
    </xf>
    <xf numFmtId="178" fontId="16" fillId="0" borderId="60" xfId="0" applyNumberFormat="1" applyFont="1" applyBorder="1" applyAlignment="1" applyProtection="1">
      <alignment horizontal="right"/>
    </xf>
    <xf numFmtId="178" fontId="16" fillId="0" borderId="61" xfId="0" applyNumberFormat="1" applyFont="1" applyBorder="1" applyAlignment="1" applyProtection="1">
      <alignment horizontal="right"/>
    </xf>
    <xf numFmtId="178" fontId="16" fillId="0" borderId="62" xfId="0" applyNumberFormat="1" applyFont="1" applyBorder="1" applyAlignment="1" applyProtection="1">
      <alignment horizontal="right"/>
    </xf>
    <xf numFmtId="178" fontId="16" fillId="0" borderId="59" xfId="0" applyNumberFormat="1" applyFont="1" applyBorder="1" applyAlignment="1" applyProtection="1">
      <alignment horizontal="right"/>
    </xf>
    <xf numFmtId="178" fontId="16" fillId="0" borderId="63" xfId="0" applyNumberFormat="1" applyFont="1" applyBorder="1" applyAlignment="1" applyProtection="1">
      <alignment horizontal="right"/>
    </xf>
    <xf numFmtId="178" fontId="16" fillId="0" borderId="60" xfId="0" applyNumberFormat="1" applyFont="1" applyBorder="1" applyProtection="1"/>
    <xf numFmtId="178" fontId="16" fillId="0" borderId="61" xfId="0" applyNumberFormat="1" applyFont="1" applyBorder="1" applyProtection="1"/>
    <xf numFmtId="178" fontId="16" fillId="0" borderId="62" xfId="0" applyNumberFormat="1" applyFont="1" applyBorder="1" applyProtection="1"/>
    <xf numFmtId="178" fontId="16" fillId="0" borderId="59" xfId="0" applyNumberFormat="1" applyFont="1" applyBorder="1" applyProtection="1"/>
    <xf numFmtId="178" fontId="16" fillId="0" borderId="63" xfId="0" applyNumberFormat="1" applyFont="1" applyBorder="1" applyProtection="1"/>
    <xf numFmtId="0" fontId="16" fillId="0" borderId="62" xfId="0" applyNumberFormat="1" applyFont="1" applyBorder="1" applyAlignment="1">
      <alignment horizontal="left" vertical="top" wrapText="1"/>
    </xf>
    <xf numFmtId="0" fontId="14" fillId="0" borderId="60" xfId="0" applyFont="1" applyBorder="1" applyAlignment="1">
      <alignment horizontal="center" vertical="top"/>
    </xf>
    <xf numFmtId="0" fontId="16" fillId="0" borderId="62" xfId="0" applyNumberFormat="1" applyFont="1" applyBorder="1" applyAlignment="1">
      <alignment vertical="top"/>
    </xf>
    <xf numFmtId="0" fontId="14" fillId="0" borderId="86" xfId="0" applyFont="1" applyBorder="1" applyAlignment="1">
      <alignment horizontal="center"/>
    </xf>
    <xf numFmtId="0" fontId="26" fillId="0" borderId="0" xfId="5"/>
    <xf numFmtId="0" fontId="4" fillId="0" borderId="0" xfId="0" applyFont="1" applyProtection="1">
      <protection locked="0"/>
    </xf>
    <xf numFmtId="0" fontId="4" fillId="0" borderId="0" xfId="0" applyFont="1" applyAlignment="1" applyProtection="1">
      <alignment horizontal="center"/>
      <protection locked="0"/>
    </xf>
    <xf numFmtId="0" fontId="4" fillId="0" borderId="1" xfId="0" applyFont="1" applyBorder="1" applyAlignment="1" applyProtection="1">
      <alignment horizontal="center"/>
      <protection locked="0"/>
    </xf>
    <xf numFmtId="0" fontId="4" fillId="0" borderId="0" xfId="0" applyFont="1" applyBorder="1" applyProtection="1">
      <protection locked="0"/>
    </xf>
    <xf numFmtId="0" fontId="4" fillId="0" borderId="8" xfId="0" applyFont="1" applyBorder="1" applyProtection="1">
      <protection locked="0"/>
    </xf>
    <xf numFmtId="0" fontId="4" fillId="0" borderId="8" xfId="0" applyFont="1" applyBorder="1" applyAlignment="1" applyProtection="1">
      <alignment horizontal="center"/>
      <protection locked="0"/>
    </xf>
    <xf numFmtId="0" fontId="4" fillId="0" borderId="3" xfId="0" applyFont="1" applyBorder="1" applyProtection="1">
      <protection locked="0"/>
    </xf>
    <xf numFmtId="0" fontId="4" fillId="0" borderId="0" xfId="0" quotePrefix="1" applyFont="1" applyBorder="1" applyProtection="1">
      <protection locked="0"/>
    </xf>
    <xf numFmtId="0" fontId="4" fillId="0" borderId="5" xfId="0" applyFont="1" applyBorder="1" applyAlignment="1" applyProtection="1">
      <alignment horizontal="center"/>
      <protection locked="0"/>
    </xf>
    <xf numFmtId="0" fontId="4" fillId="0" borderId="4" xfId="0" applyFont="1" applyBorder="1" applyProtection="1">
      <protection locked="0"/>
    </xf>
    <xf numFmtId="0" fontId="4" fillId="0" borderId="9" xfId="0" applyFont="1" applyBorder="1" applyProtection="1">
      <protection locked="0"/>
    </xf>
    <xf numFmtId="0" fontId="4" fillId="0" borderId="10"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7" fillId="0" borderId="0" xfId="0" applyFont="1" applyFill="1" applyBorder="1" applyAlignment="1" applyProtection="1">
      <alignment horizontal="center"/>
      <protection locked="0"/>
    </xf>
    <xf numFmtId="0" fontId="4" fillId="0" borderId="7" xfId="0" applyFont="1" applyBorder="1" applyProtection="1">
      <protection locked="0"/>
    </xf>
    <xf numFmtId="0" fontId="4" fillId="0" borderId="3" xfId="0" applyFont="1" applyBorder="1" applyAlignment="1" applyProtection="1">
      <alignment horizontal="center"/>
      <protection locked="0"/>
    </xf>
    <xf numFmtId="0" fontId="4" fillId="0" borderId="10" xfId="0" applyFont="1" applyBorder="1" applyProtection="1">
      <protection locked="0"/>
    </xf>
    <xf numFmtId="0" fontId="4" fillId="0" borderId="7" xfId="0" applyFont="1" applyBorder="1" applyAlignment="1" applyProtection="1">
      <alignment horizontal="center"/>
      <protection locked="0"/>
    </xf>
    <xf numFmtId="0" fontId="4" fillId="0" borderId="8" xfId="0" applyFont="1" applyBorder="1" applyAlignment="1" applyProtection="1">
      <alignment horizontal="center" wrapText="1"/>
      <protection locked="0"/>
    </xf>
    <xf numFmtId="0" fontId="4" fillId="0" borderId="6" xfId="0" applyFont="1" applyBorder="1" applyAlignment="1" applyProtection="1">
      <alignment horizontal="center"/>
      <protection locked="0"/>
    </xf>
    <xf numFmtId="178" fontId="16" fillId="0" borderId="67" xfId="0" applyNumberFormat="1" applyFont="1" applyFill="1" applyBorder="1" applyProtection="1"/>
    <xf numFmtId="178" fontId="16" fillId="0" borderId="76" xfId="0" applyNumberFormat="1" applyFont="1" applyFill="1" applyBorder="1" applyProtection="1"/>
    <xf numFmtId="178" fontId="16" fillId="0" borderId="99" xfId="0" applyNumberFormat="1" applyFont="1" applyFill="1" applyBorder="1" applyProtection="1"/>
    <xf numFmtId="0" fontId="19" fillId="0" borderId="0" xfId="0" applyFont="1" applyProtection="1"/>
    <xf numFmtId="0" fontId="19" fillId="0" borderId="0" xfId="0" quotePrefix="1" applyNumberFormat="1" applyFont="1" applyBorder="1" applyProtection="1"/>
    <xf numFmtId="0" fontId="19" fillId="0" borderId="0" xfId="4" applyFont="1" applyAlignment="1" applyProtection="1"/>
    <xf numFmtId="0" fontId="19" fillId="0" borderId="0" xfId="0" applyNumberFormat="1" applyFont="1" applyProtection="1"/>
    <xf numFmtId="0" fontId="20" fillId="0" borderId="0" xfId="0" applyNumberFormat="1" applyFont="1" applyProtection="1"/>
    <xf numFmtId="0" fontId="20" fillId="0" borderId="0" xfId="0" applyNumberFormat="1" applyFont="1" applyBorder="1" applyAlignment="1" applyProtection="1">
      <alignment vertical="center" wrapText="1"/>
    </xf>
    <xf numFmtId="0" fontId="20" fillId="0" borderId="0" xfId="0" applyFont="1" applyFill="1" applyBorder="1" applyAlignment="1" applyProtection="1">
      <alignment vertical="center" wrapText="1"/>
    </xf>
    <xf numFmtId="0" fontId="20" fillId="0" borderId="0" xfId="0" applyNumberFormat="1" applyFont="1" applyFill="1" applyBorder="1" applyAlignment="1" applyProtection="1">
      <alignment vertical="center" wrapText="1"/>
    </xf>
    <xf numFmtId="178" fontId="14" fillId="0" borderId="80" xfId="0" applyNumberFormat="1" applyFont="1" applyFill="1" applyBorder="1" applyProtection="1"/>
    <xf numFmtId="178" fontId="14" fillId="0" borderId="104" xfId="0" applyNumberFormat="1" applyFont="1" applyFill="1" applyBorder="1" applyProtection="1"/>
    <xf numFmtId="178" fontId="14" fillId="0" borderId="67" xfId="0" applyNumberFormat="1" applyFont="1" applyFill="1" applyBorder="1" applyProtection="1"/>
    <xf numFmtId="178" fontId="14" fillId="0" borderId="99" xfId="0" applyNumberFormat="1" applyFont="1" applyFill="1" applyBorder="1" applyProtection="1"/>
    <xf numFmtId="0" fontId="19" fillId="0" borderId="0" xfId="0" applyNumberFormat="1" applyFont="1" applyBorder="1" applyAlignment="1" applyProtection="1">
      <alignment horizontal="left" vertical="top"/>
    </xf>
    <xf numFmtId="0" fontId="19" fillId="0" borderId="3" xfId="0" applyNumberFormat="1" applyFont="1" applyFill="1" applyBorder="1" applyAlignment="1" applyProtection="1">
      <alignment horizontal="left" indent="1"/>
    </xf>
    <xf numFmtId="0" fontId="19" fillId="0" borderId="42" xfId="0" applyNumberFormat="1" applyFont="1" applyFill="1" applyBorder="1" applyAlignment="1" applyProtection="1">
      <alignment horizontal="center"/>
    </xf>
    <xf numFmtId="0" fontId="19" fillId="0" borderId="0" xfId="0" applyNumberFormat="1" applyFont="1" applyFill="1" applyBorder="1" applyAlignment="1" applyProtection="1">
      <alignment horizontal="center"/>
    </xf>
    <xf numFmtId="0" fontId="16" fillId="0" borderId="64" xfId="0" applyFont="1" applyFill="1" applyBorder="1" applyAlignment="1">
      <alignment horizontal="left" vertical="center"/>
    </xf>
    <xf numFmtId="0" fontId="14" fillId="0" borderId="47" xfId="0" applyNumberFormat="1" applyFont="1" applyFill="1" applyBorder="1" applyAlignment="1">
      <alignment horizontal="left" indent="2"/>
    </xf>
    <xf numFmtId="0" fontId="14" fillId="0" borderId="47" xfId="0" applyNumberFormat="1" applyFont="1" applyBorder="1" applyAlignment="1">
      <alignment horizontal="left" indent="2"/>
    </xf>
    <xf numFmtId="0" fontId="14" fillId="0" borderId="47" xfId="0" applyFont="1" applyBorder="1"/>
    <xf numFmtId="0" fontId="16" fillId="0" borderId="4" xfId="0" applyNumberFormat="1" applyFont="1" applyBorder="1" applyAlignment="1" applyProtection="1">
      <alignment wrapText="1"/>
    </xf>
    <xf numFmtId="0" fontId="29" fillId="0" borderId="9" xfId="0" applyFont="1" applyFill="1" applyBorder="1" applyAlignment="1" applyProtection="1">
      <alignment horizontal="left"/>
    </xf>
    <xf numFmtId="0" fontId="3" fillId="0" borderId="0" xfId="0" applyFont="1" applyProtection="1">
      <protection hidden="1"/>
    </xf>
    <xf numFmtId="0" fontId="3" fillId="0" borderId="0" xfId="0" applyFont="1" applyProtection="1"/>
    <xf numFmtId="0" fontId="3" fillId="0" borderId="0" xfId="0" applyFont="1"/>
    <xf numFmtId="0" fontId="3" fillId="0" borderId="0" xfId="0" applyFont="1" applyBorder="1" applyProtection="1">
      <protection hidden="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quotePrefix="1" applyNumberFormat="1" applyFont="1" applyProtection="1"/>
    <xf numFmtId="0" fontId="30" fillId="0" borderId="0" xfId="0" applyFont="1" applyProtection="1"/>
    <xf numFmtId="0" fontId="30" fillId="0" borderId="0" xfId="0" applyNumberFormat="1" applyFont="1" applyProtection="1"/>
    <xf numFmtId="0" fontId="3" fillId="0" borderId="0" xfId="0" applyFont="1" applyAlignment="1" applyProtection="1">
      <alignment vertical="center"/>
      <protection hidden="1"/>
    </xf>
    <xf numFmtId="0" fontId="30" fillId="0" borderId="0" xfId="0" applyFont="1" applyAlignment="1" applyProtection="1">
      <alignment vertical="center"/>
    </xf>
    <xf numFmtId="0" fontId="3" fillId="0" borderId="0" xfId="0" applyFont="1" applyAlignment="1">
      <alignment vertical="center"/>
    </xf>
    <xf numFmtId="0" fontId="5" fillId="0" borderId="0" xfId="0" applyFont="1" applyAlignment="1" applyProtection="1">
      <alignment vertical="center"/>
    </xf>
    <xf numFmtId="0" fontId="5" fillId="0" borderId="0" xfId="0" applyFont="1" applyProtection="1"/>
    <xf numFmtId="0" fontId="0" fillId="0" borderId="0" xfId="0" applyProtection="1"/>
    <xf numFmtId="0" fontId="5" fillId="0" borderId="0" xfId="0" applyFont="1" applyBorder="1" applyProtection="1"/>
    <xf numFmtId="0" fontId="5" fillId="0" borderId="0" xfId="0" quotePrefix="1" applyNumberFormat="1" applyFont="1" applyBorder="1" applyProtection="1"/>
    <xf numFmtId="0" fontId="3" fillId="0" borderId="0" xfId="0" applyFont="1" applyBorder="1" applyProtection="1"/>
    <xf numFmtId="0" fontId="0" fillId="0" borderId="0" xfId="0" applyBorder="1" applyProtection="1"/>
    <xf numFmtId="0" fontId="3" fillId="0" borderId="0" xfId="0" applyFont="1" applyBorder="1"/>
    <xf numFmtId="0" fontId="13" fillId="0" borderId="0" xfId="0" applyFont="1" applyProtection="1"/>
    <xf numFmtId="0" fontId="13" fillId="0" borderId="0" xfId="0" applyFont="1" applyProtection="1">
      <protection hidden="1"/>
    </xf>
    <xf numFmtId="0" fontId="0" fillId="0" borderId="0" xfId="0" applyProtection="1">
      <protection hidden="1"/>
    </xf>
    <xf numFmtId="0" fontId="3" fillId="0" borderId="0" xfId="0" applyFont="1" applyProtection="1">
      <protection locked="0" hidden="1"/>
    </xf>
    <xf numFmtId="0" fontId="3" fillId="0" borderId="0" xfId="0" applyFont="1" applyProtection="1">
      <protection locked="0"/>
    </xf>
    <xf numFmtId="0" fontId="30" fillId="0" borderId="0" xfId="0" applyFont="1" applyFill="1" applyProtection="1"/>
    <xf numFmtId="0" fontId="14" fillId="0" borderId="0" xfId="0" applyFont="1" applyFill="1" applyProtection="1"/>
    <xf numFmtId="178" fontId="14" fillId="0" borderId="42" xfId="1" applyNumberFormat="1" applyFont="1" applyFill="1" applyBorder="1" applyProtection="1"/>
    <xf numFmtId="178" fontId="14" fillId="0" borderId="8" xfId="1" applyNumberFormat="1" applyFont="1" applyFill="1" applyBorder="1" applyProtection="1"/>
    <xf numFmtId="178" fontId="14" fillId="0" borderId="3" xfId="1" applyNumberFormat="1" applyFont="1" applyFill="1" applyBorder="1" applyProtection="1"/>
    <xf numFmtId="178" fontId="14" fillId="0" borderId="0" xfId="1" applyNumberFormat="1" applyFont="1" applyFill="1" applyBorder="1" applyProtection="1"/>
    <xf numFmtId="178" fontId="14" fillId="0" borderId="47" xfId="1" applyNumberFormat="1" applyFont="1" applyFill="1" applyBorder="1" applyProtection="1"/>
    <xf numFmtId="178" fontId="16" fillId="0" borderId="47" xfId="0" applyNumberFormat="1" applyFont="1" applyFill="1" applyBorder="1"/>
    <xf numFmtId="0" fontId="19" fillId="0" borderId="3" xfId="0" applyNumberFormat="1" applyFont="1" applyFill="1" applyBorder="1" applyAlignment="1">
      <alignment horizontal="left" indent="2"/>
    </xf>
    <xf numFmtId="178" fontId="14" fillId="0" borderId="42" xfId="0" applyNumberFormat="1" applyFont="1" applyFill="1" applyBorder="1" applyAlignment="1" applyProtection="1">
      <alignment horizontal="right"/>
    </xf>
    <xf numFmtId="178" fontId="14" fillId="0" borderId="0" xfId="0" applyNumberFormat="1" applyFont="1" applyFill="1" applyBorder="1" applyAlignment="1" applyProtection="1">
      <alignment horizontal="right"/>
    </xf>
    <xf numFmtId="178" fontId="14" fillId="0" borderId="46" xfId="0" applyNumberFormat="1" applyFont="1" applyFill="1" applyBorder="1" applyAlignment="1">
      <alignment horizontal="right"/>
    </xf>
    <xf numFmtId="178" fontId="14" fillId="0" borderId="48" xfId="0" applyNumberFormat="1" applyFont="1" applyFill="1" applyBorder="1" applyAlignment="1">
      <alignment horizontal="right"/>
    </xf>
    <xf numFmtId="178" fontId="14" fillId="0" borderId="50" xfId="0" applyNumberFormat="1" applyFont="1" applyFill="1" applyBorder="1" applyAlignment="1">
      <alignment horizontal="right"/>
    </xf>
    <xf numFmtId="178" fontId="14" fillId="0" borderId="49" xfId="0" applyNumberFormat="1" applyFont="1" applyFill="1" applyBorder="1" applyAlignment="1">
      <alignment horizontal="right"/>
    </xf>
    <xf numFmtId="0" fontId="4" fillId="0" borderId="1" xfId="0" applyFont="1" applyBorder="1" applyAlignment="1" applyProtection="1">
      <alignment horizontal="center"/>
    </xf>
    <xf numFmtId="0" fontId="4" fillId="0" borderId="0" xfId="0" applyFont="1" applyBorder="1" applyProtection="1"/>
    <xf numFmtId="0" fontId="4" fillId="0" borderId="8" xfId="0" applyFont="1" applyBorder="1" applyAlignment="1" applyProtection="1">
      <alignment horizontal="center"/>
    </xf>
    <xf numFmtId="0" fontId="4" fillId="0" borderId="3" xfId="0" applyFont="1" applyBorder="1" applyProtection="1"/>
    <xf numFmtId="0" fontId="4" fillId="0" borderId="3" xfId="0" quotePrefix="1" applyFont="1" applyBorder="1" applyProtection="1"/>
    <xf numFmtId="0" fontId="4" fillId="0" borderId="12" xfId="0" applyFont="1" applyBorder="1" applyAlignment="1" applyProtection="1">
      <alignment horizontal="center"/>
    </xf>
    <xf numFmtId="0" fontId="4" fillId="0" borderId="7" xfId="0" applyFont="1" applyBorder="1" applyProtection="1"/>
    <xf numFmtId="0" fontId="4" fillId="0" borderId="8" xfId="0" applyFont="1" applyBorder="1" applyProtection="1"/>
    <xf numFmtId="0" fontId="4" fillId="0" borderId="10" xfId="0" applyFont="1" applyBorder="1" applyProtection="1"/>
    <xf numFmtId="0" fontId="4" fillId="0" borderId="0" xfId="0" applyFont="1" applyAlignment="1" applyProtection="1">
      <alignment horizontal="center"/>
    </xf>
    <xf numFmtId="0" fontId="7" fillId="6" borderId="2" xfId="0" applyFont="1" applyFill="1" applyBorder="1" applyAlignment="1" applyProtection="1">
      <alignment horizontal="center"/>
    </xf>
    <xf numFmtId="0" fontId="7" fillId="10" borderId="34" xfId="0" applyFont="1" applyFill="1" applyBorder="1" applyAlignment="1" applyProtection="1">
      <alignment horizontal="center"/>
    </xf>
    <xf numFmtId="0" fontId="7" fillId="10" borderId="2" xfId="0" applyFont="1" applyFill="1" applyBorder="1" applyAlignment="1" applyProtection="1">
      <alignment horizontal="center"/>
    </xf>
    <xf numFmtId="0" fontId="4" fillId="0" borderId="0" xfId="0" applyFont="1" applyFill="1" applyBorder="1" applyProtection="1"/>
    <xf numFmtId="0" fontId="6" fillId="0" borderId="0" xfId="0" applyFont="1" applyBorder="1" applyProtection="1"/>
    <xf numFmtId="0" fontId="4" fillId="0" borderId="9" xfId="0" applyFont="1" applyBorder="1" applyProtection="1"/>
    <xf numFmtId="0" fontId="4" fillId="0" borderId="5" xfId="0" applyFont="1" applyBorder="1" applyAlignment="1" applyProtection="1">
      <alignment horizontal="center"/>
    </xf>
    <xf numFmtId="0" fontId="7" fillId="6" borderId="34" xfId="0" applyFont="1" applyFill="1" applyBorder="1" applyAlignment="1" applyProtection="1">
      <alignment horizontal="center"/>
    </xf>
    <xf numFmtId="0" fontId="4" fillId="0" borderId="11" xfId="0" applyFont="1" applyBorder="1" applyAlignment="1" applyProtection="1">
      <alignment horizontal="center"/>
    </xf>
    <xf numFmtId="0" fontId="4" fillId="0" borderId="6" xfId="0" applyFont="1" applyBorder="1" applyProtection="1"/>
    <xf numFmtId="0" fontId="15" fillId="11" borderId="17" xfId="0" applyFont="1" applyFill="1" applyBorder="1" applyAlignment="1" applyProtection="1"/>
    <xf numFmtId="0" fontId="15" fillId="11" borderId="17" xfId="0" applyFont="1" applyFill="1" applyBorder="1" applyAlignment="1" applyProtection="1">
      <alignment horizontal="center"/>
    </xf>
    <xf numFmtId="0" fontId="15" fillId="11" borderId="2" xfId="0" applyFont="1" applyFill="1" applyBorder="1" applyAlignment="1" applyProtection="1">
      <alignment horizontal="center"/>
    </xf>
    <xf numFmtId="0" fontId="4" fillId="0" borderId="3" xfId="0" applyFont="1" applyBorder="1" applyAlignment="1" applyProtection="1">
      <alignment horizontal="center"/>
    </xf>
    <xf numFmtId="0" fontId="4" fillId="0" borderId="12" xfId="0" applyFont="1" applyBorder="1" applyAlignment="1" applyProtection="1">
      <alignment horizontal="left"/>
    </xf>
    <xf numFmtId="0" fontId="4" fillId="0" borderId="3" xfId="0" applyFont="1" applyBorder="1" applyAlignment="1" applyProtection="1">
      <alignment horizontal="left"/>
    </xf>
    <xf numFmtId="0" fontId="4" fillId="0" borderId="4" xfId="0" applyFont="1" applyBorder="1" applyAlignment="1" applyProtection="1">
      <alignment horizontal="left"/>
    </xf>
    <xf numFmtId="0" fontId="4" fillId="0" borderId="10" xfId="0" applyFont="1" applyBorder="1" applyAlignment="1" applyProtection="1">
      <alignment horizontal="center"/>
    </xf>
    <xf numFmtId="178" fontId="16" fillId="0" borderId="102" xfId="0" applyNumberFormat="1" applyFont="1" applyFill="1" applyBorder="1" applyProtection="1"/>
    <xf numFmtId="178" fontId="16" fillId="0" borderId="86" xfId="0" applyNumberFormat="1" applyFont="1" applyFill="1" applyBorder="1" applyProtection="1"/>
    <xf numFmtId="178" fontId="16" fillId="0" borderId="105" xfId="0" applyNumberFormat="1" applyFont="1" applyFill="1" applyBorder="1" applyProtection="1"/>
    <xf numFmtId="178" fontId="16" fillId="0" borderId="80" xfId="0" applyNumberFormat="1" applyFont="1" applyFill="1" applyBorder="1" applyProtection="1"/>
    <xf numFmtId="178" fontId="16" fillId="0" borderId="79" xfId="0" applyNumberFormat="1" applyFont="1" applyFill="1" applyBorder="1" applyProtection="1"/>
    <xf numFmtId="178" fontId="16" fillId="0" borderId="104" xfId="0" applyNumberFormat="1" applyFont="1" applyFill="1" applyBorder="1" applyProtection="1"/>
    <xf numFmtId="178" fontId="14" fillId="0" borderId="42" xfId="0" applyNumberFormat="1" applyFont="1" applyFill="1" applyBorder="1" applyAlignment="1" applyProtection="1">
      <alignment horizontal="center"/>
    </xf>
    <xf numFmtId="178" fontId="14" fillId="0" borderId="8" xfId="0" applyNumberFormat="1" applyFont="1" applyFill="1" applyBorder="1" applyAlignment="1" applyProtection="1">
      <alignment horizontal="right"/>
    </xf>
    <xf numFmtId="178" fontId="14" fillId="0" borderId="3" xfId="0" applyNumberFormat="1" applyFont="1" applyFill="1" applyBorder="1" applyAlignment="1" applyProtection="1">
      <alignment horizontal="right"/>
    </xf>
    <xf numFmtId="0" fontId="19" fillId="0" borderId="0" xfId="0" applyNumberFormat="1" applyFont="1" applyFill="1" applyBorder="1" applyProtection="1"/>
    <xf numFmtId="178" fontId="16" fillId="0" borderId="80" xfId="0" applyNumberFormat="1" applyFont="1" applyFill="1" applyBorder="1"/>
    <xf numFmtId="178" fontId="16" fillId="0" borderId="79" xfId="0" applyNumberFormat="1" applyFont="1" applyFill="1" applyBorder="1"/>
    <xf numFmtId="178" fontId="16" fillId="0" borderId="104" xfId="0" applyNumberFormat="1" applyFont="1" applyFill="1" applyBorder="1"/>
    <xf numFmtId="0" fontId="0" fillId="0" borderId="0" xfId="0" applyFill="1"/>
    <xf numFmtId="0" fontId="0" fillId="0" borderId="0" xfId="0" applyFill="1" applyProtection="1">
      <protection locked="0"/>
    </xf>
    <xf numFmtId="0" fontId="0" fillId="0" borderId="0" xfId="0" applyFill="1" applyProtection="1"/>
    <xf numFmtId="0" fontId="3" fillId="0" borderId="0" xfId="0" applyFont="1" applyFill="1" applyProtection="1"/>
    <xf numFmtId="0" fontId="28" fillId="0" borderId="0" xfId="0" applyFont="1" applyFill="1" applyProtection="1"/>
    <xf numFmtId="0" fontId="31" fillId="0" borderId="0" xfId="0" applyFont="1" applyAlignment="1">
      <alignment wrapText="1"/>
    </xf>
    <xf numFmtId="0" fontId="14" fillId="0" borderId="1" xfId="0" applyFont="1" applyFill="1" applyBorder="1" applyAlignment="1">
      <alignment horizontal="left" indent="1"/>
    </xf>
    <xf numFmtId="0" fontId="14" fillId="0" borderId="1" xfId="0" applyNumberFormat="1" applyFont="1" applyBorder="1" applyAlignment="1">
      <alignment horizontal="left" vertical="top" indent="1"/>
    </xf>
    <xf numFmtId="0" fontId="18" fillId="0" borderId="1" xfId="0" applyFont="1" applyFill="1" applyBorder="1" applyAlignment="1">
      <alignment horizontal="left" indent="1"/>
    </xf>
    <xf numFmtId="0" fontId="25" fillId="0" borderId="0" xfId="0" applyFont="1"/>
    <xf numFmtId="0" fontId="16" fillId="0" borderId="42" xfId="0" applyNumberFormat="1" applyFont="1" applyBorder="1" applyAlignment="1">
      <alignment horizontal="center"/>
    </xf>
    <xf numFmtId="0" fontId="21" fillId="0" borderId="3" xfId="0" applyFont="1" applyFill="1" applyBorder="1" applyAlignment="1">
      <alignment horizontal="left" indent="1"/>
    </xf>
    <xf numFmtId="0" fontId="19" fillId="0" borderId="3" xfId="0" applyFont="1" applyFill="1" applyBorder="1" applyAlignment="1">
      <alignment horizontal="left" indent="2"/>
    </xf>
    <xf numFmtId="0" fontId="19" fillId="0" borderId="3" xfId="0" applyNumberFormat="1" applyFont="1" applyBorder="1" applyAlignment="1" applyProtection="1">
      <alignment horizontal="right" indent="1"/>
    </xf>
    <xf numFmtId="0" fontId="16" fillId="0" borderId="47" xfId="0" applyNumberFormat="1" applyFont="1" applyBorder="1"/>
    <xf numFmtId="0" fontId="18" fillId="0" borderId="47" xfId="0" applyNumberFormat="1" applyFont="1" applyBorder="1" applyAlignment="1">
      <alignment horizontal="left" indent="1"/>
    </xf>
    <xf numFmtId="0" fontId="19" fillId="0" borderId="47" xfId="0" applyNumberFormat="1" applyFont="1" applyFill="1" applyBorder="1" applyAlignment="1">
      <alignment horizontal="left" indent="2"/>
    </xf>
    <xf numFmtId="0" fontId="14" fillId="0" borderId="47" xfId="0" applyFont="1" applyBorder="1" applyAlignment="1">
      <alignment horizontal="left" indent="2"/>
    </xf>
    <xf numFmtId="0" fontId="16" fillId="0" borderId="56" xfId="0" applyFont="1" applyBorder="1"/>
    <xf numFmtId="0" fontId="16" fillId="0" borderId="12" xfId="0" applyFont="1" applyBorder="1"/>
    <xf numFmtId="0" fontId="16" fillId="0" borderId="17" xfId="0" applyFont="1" applyBorder="1"/>
    <xf numFmtId="0" fontId="16" fillId="0" borderId="3" xfId="0" applyFont="1" applyFill="1" applyBorder="1" applyAlignment="1">
      <alignment horizontal="left" indent="1"/>
    </xf>
    <xf numFmtId="0" fontId="16" fillId="2" borderId="7" xfId="0" applyFont="1" applyFill="1" applyBorder="1" applyAlignment="1">
      <alignment horizontal="center" vertical="top" wrapText="1"/>
    </xf>
    <xf numFmtId="0" fontId="16" fillId="2" borderId="11" xfId="0" applyFont="1" applyFill="1" applyBorder="1" applyAlignment="1">
      <alignment horizontal="center" vertical="top" wrapText="1"/>
    </xf>
    <xf numFmtId="0" fontId="13" fillId="0" borderId="47" xfId="0" applyFont="1" applyFill="1" applyBorder="1" applyAlignment="1">
      <alignment horizontal="left" vertical="top" wrapText="1" indent="3"/>
    </xf>
    <xf numFmtId="0" fontId="14" fillId="0" borderId="0" xfId="0" applyFont="1" applyFill="1" applyAlignment="1">
      <alignment horizontal="right"/>
    </xf>
    <xf numFmtId="170" fontId="14" fillId="0" borderId="0" xfId="0" applyNumberFormat="1" applyFont="1" applyFill="1"/>
    <xf numFmtId="0" fontId="14" fillId="0" borderId="0" xfId="0" applyFont="1" applyFill="1" applyBorder="1" applyAlignment="1" applyProtection="1">
      <protection locked="0"/>
    </xf>
    <xf numFmtId="0" fontId="25" fillId="0" borderId="0" xfId="0" applyFont="1" applyFill="1"/>
    <xf numFmtId="0" fontId="14" fillId="0" borderId="0" xfId="0" applyFont="1" applyFill="1" applyAlignment="1">
      <alignment vertical="top"/>
    </xf>
    <xf numFmtId="0" fontId="14" fillId="0" borderId="0" xfId="0" applyFont="1" applyFill="1" applyAlignment="1"/>
    <xf numFmtId="0" fontId="14" fillId="0" borderId="0" xfId="0" applyFont="1" applyFill="1" applyAlignment="1">
      <alignment wrapText="1"/>
    </xf>
    <xf numFmtId="178" fontId="14" fillId="0" borderId="0" xfId="0" applyNumberFormat="1" applyFont="1" applyFill="1" applyProtection="1">
      <protection locked="0"/>
    </xf>
    <xf numFmtId="0" fontId="16" fillId="0" borderId="0" xfId="0" applyNumberFormat="1" applyFont="1" applyBorder="1"/>
    <xf numFmtId="0" fontId="18" fillId="0" borderId="12" xfId="0" applyFont="1" applyBorder="1"/>
    <xf numFmtId="0" fontId="16" fillId="0" borderId="62" xfId="0" applyNumberFormat="1" applyFont="1" applyFill="1" applyBorder="1" applyAlignment="1">
      <alignment wrapText="1"/>
    </xf>
    <xf numFmtId="174" fontId="14" fillId="0" borderId="99" xfId="6" applyNumberFormat="1" applyFont="1" applyFill="1" applyBorder="1" applyAlignment="1">
      <alignment horizontal="center"/>
    </xf>
    <xf numFmtId="0" fontId="14" fillId="0" borderId="8" xfId="0" applyFont="1" applyBorder="1"/>
    <xf numFmtId="0" fontId="18" fillId="0" borderId="0" xfId="0" applyFont="1" applyBorder="1"/>
    <xf numFmtId="0" fontId="14" fillId="0" borderId="0" xfId="0" applyFont="1" applyFill="1" applyBorder="1" applyAlignment="1"/>
    <xf numFmtId="0" fontId="14" fillId="0" borderId="1" xfId="0" applyFont="1" applyBorder="1"/>
    <xf numFmtId="171" fontId="14" fillId="0" borderId="1" xfId="7" applyNumberFormat="1" applyFont="1" applyBorder="1" applyAlignment="1"/>
    <xf numFmtId="171" fontId="14" fillId="0" borderId="1" xfId="7" applyNumberFormat="1" applyFont="1" applyBorder="1"/>
    <xf numFmtId="10" fontId="14" fillId="0" borderId="1" xfId="7" applyNumberFormat="1" applyFont="1" applyFill="1" applyBorder="1" applyProtection="1"/>
    <xf numFmtId="0" fontId="14" fillId="0" borderId="0" xfId="0" applyFont="1" applyBorder="1" applyAlignment="1">
      <alignment wrapText="1"/>
    </xf>
    <xf numFmtId="178" fontId="14" fillId="0" borderId="1" xfId="0" applyNumberFormat="1" applyFont="1" applyBorder="1" applyAlignment="1">
      <alignment horizontal="left" wrapText="1"/>
    </xf>
    <xf numFmtId="178" fontId="14" fillId="0" borderId="11" xfId="0" applyNumberFormat="1" applyFont="1" applyBorder="1" applyAlignment="1">
      <alignment horizontal="left" wrapText="1"/>
    </xf>
    <xf numFmtId="0" fontId="14" fillId="0" borderId="7" xfId="0" applyFont="1" applyBorder="1" applyAlignment="1">
      <alignment horizontal="center"/>
    </xf>
    <xf numFmtId="0" fontId="18" fillId="0" borderId="7" xfId="0" applyFont="1" applyBorder="1"/>
    <xf numFmtId="0" fontId="14" fillId="0" borderId="11" xfId="0" applyFont="1" applyBorder="1"/>
    <xf numFmtId="0" fontId="14" fillId="0" borderId="9" xfId="0" applyFont="1" applyBorder="1"/>
    <xf numFmtId="0" fontId="14" fillId="0" borderId="10" xfId="0" applyFont="1" applyBorder="1"/>
    <xf numFmtId="171" fontId="14" fillId="0" borderId="5" xfId="7" applyNumberFormat="1" applyFont="1" applyBorder="1"/>
    <xf numFmtId="175" fontId="14" fillId="0" borderId="5" xfId="0" applyNumberFormat="1" applyFont="1" applyBorder="1"/>
    <xf numFmtId="0" fontId="14" fillId="0" borderId="9" xfId="0" applyFont="1" applyFill="1" applyBorder="1" applyAlignment="1"/>
    <xf numFmtId="178" fontId="14" fillId="0" borderId="5" xfId="0" applyNumberFormat="1" applyFont="1" applyFill="1" applyBorder="1"/>
    <xf numFmtId="0" fontId="14" fillId="0" borderId="76" xfId="0" applyFont="1" applyBorder="1"/>
    <xf numFmtId="174" fontId="14" fillId="0" borderId="36" xfId="0" applyNumberFormat="1" applyFont="1" applyBorder="1" applyAlignment="1">
      <alignment horizontal="center"/>
    </xf>
    <xf numFmtId="174" fontId="14" fillId="0" borderId="42" xfId="0" quotePrefix="1" applyNumberFormat="1" applyFont="1" applyBorder="1" applyAlignment="1">
      <alignment horizontal="center"/>
    </xf>
    <xf numFmtId="0" fontId="14" fillId="0" borderId="43" xfId="0" applyFont="1" applyBorder="1"/>
    <xf numFmtId="178" fontId="14" fillId="0" borderId="36" xfId="0" quotePrefix="1" applyNumberFormat="1" applyFont="1" applyBorder="1" applyAlignment="1">
      <alignment horizontal="center"/>
    </xf>
    <xf numFmtId="0" fontId="14" fillId="0" borderId="106" xfId="0" applyFont="1" applyBorder="1"/>
    <xf numFmtId="178" fontId="14" fillId="0" borderId="76" xfId="0" applyNumberFormat="1" applyFont="1" applyBorder="1" applyAlignment="1">
      <alignment horizontal="center"/>
    </xf>
    <xf numFmtId="0" fontId="14" fillId="0" borderId="99" xfId="0" applyFont="1" applyBorder="1"/>
    <xf numFmtId="174" fontId="14" fillId="0" borderId="77" xfId="0" applyNumberFormat="1" applyFont="1" applyBorder="1" applyAlignment="1">
      <alignment horizontal="center"/>
    </xf>
    <xf numFmtId="174" fontId="14" fillId="0" borderId="76" xfId="0" quotePrefix="1" applyNumberFormat="1" applyFont="1" applyBorder="1" applyAlignment="1">
      <alignment horizontal="center"/>
    </xf>
    <xf numFmtId="178" fontId="14" fillId="0" borderId="77" xfId="0" quotePrefix="1" applyNumberFormat="1" applyFont="1" applyBorder="1" applyAlignment="1">
      <alignment horizontal="center"/>
    </xf>
    <xf numFmtId="0" fontId="4" fillId="14" borderId="11" xfId="0" applyFont="1" applyFill="1" applyBorder="1" applyAlignment="1" applyProtection="1">
      <alignment horizontal="center"/>
      <protection locked="0"/>
    </xf>
    <xf numFmtId="17" fontId="4" fillId="14" borderId="6" xfId="0" quotePrefix="1" applyNumberFormat="1" applyFont="1" applyFill="1" applyBorder="1" applyProtection="1">
      <protection locked="0"/>
    </xf>
    <xf numFmtId="0" fontId="4" fillId="14" borderId="6" xfId="0" applyFont="1" applyFill="1" applyBorder="1" applyProtection="1">
      <protection locked="0"/>
    </xf>
    <xf numFmtId="0" fontId="4" fillId="14" borderId="7" xfId="0" applyFont="1" applyFill="1" applyBorder="1" applyProtection="1">
      <protection locked="0"/>
    </xf>
    <xf numFmtId="0" fontId="4" fillId="14" borderId="1" xfId="0" applyFont="1" applyFill="1" applyBorder="1" applyAlignment="1" applyProtection="1">
      <alignment horizontal="center"/>
      <protection locked="0"/>
    </xf>
    <xf numFmtId="0" fontId="4" fillId="14" borderId="0" xfId="0" quotePrefix="1" applyFont="1" applyFill="1" applyBorder="1" applyProtection="1">
      <protection locked="0"/>
    </xf>
    <xf numFmtId="0" fontId="4" fillId="14" borderId="0" xfId="0" applyFont="1" applyFill="1" applyBorder="1" applyProtection="1">
      <protection locked="0"/>
    </xf>
    <xf numFmtId="0" fontId="4" fillId="14" borderId="8" xfId="0" applyFont="1" applyFill="1" applyBorder="1" applyProtection="1">
      <protection locked="0"/>
    </xf>
    <xf numFmtId="0" fontId="4" fillId="14" borderId="0" xfId="0" applyFont="1" applyFill="1" applyAlignment="1" applyProtection="1">
      <alignment horizontal="center"/>
      <protection locked="0"/>
    </xf>
    <xf numFmtId="0" fontId="4" fillId="14" borderId="0" xfId="0" applyFont="1" applyFill="1" applyAlignment="1" applyProtection="1">
      <alignment wrapText="1"/>
      <protection locked="0"/>
    </xf>
    <xf numFmtId="0" fontId="4" fillId="14" borderId="0" xfId="0" applyFont="1" applyFill="1" applyProtection="1">
      <protection locked="0"/>
    </xf>
    <xf numFmtId="0" fontId="4" fillId="14" borderId="0" xfId="0" applyFont="1" applyFill="1" applyAlignment="1" applyProtection="1">
      <alignment horizontal="left"/>
      <protection locked="0"/>
    </xf>
    <xf numFmtId="178" fontId="14" fillId="14" borderId="42" xfId="0" applyNumberFormat="1" applyFont="1" applyFill="1" applyBorder="1" applyProtection="1">
      <protection locked="0"/>
    </xf>
    <xf numFmtId="178" fontId="14" fillId="14" borderId="67" xfId="0" applyNumberFormat="1" applyFont="1" applyFill="1" applyBorder="1" applyProtection="1">
      <protection locked="0"/>
    </xf>
    <xf numFmtId="178" fontId="14" fillId="14" borderId="47" xfId="0" applyNumberFormat="1" applyFont="1" applyFill="1" applyBorder="1" applyProtection="1">
      <protection locked="0"/>
    </xf>
    <xf numFmtId="178" fontId="14" fillId="14" borderId="76" xfId="0" applyNumberFormat="1" applyFont="1" applyFill="1" applyBorder="1" applyProtection="1">
      <protection locked="0"/>
    </xf>
    <xf numFmtId="178" fontId="14" fillId="14" borderId="46" xfId="0" applyNumberFormat="1" applyFont="1" applyFill="1" applyBorder="1" applyProtection="1">
      <protection locked="0"/>
    </xf>
    <xf numFmtId="178" fontId="14" fillId="14" borderId="42" xfId="0" applyNumberFormat="1" applyFont="1" applyFill="1" applyBorder="1" applyAlignment="1" applyProtection="1">
      <alignment horizontal="right"/>
      <protection locked="0"/>
    </xf>
    <xf numFmtId="178" fontId="14" fillId="14" borderId="8" xfId="0" applyNumberFormat="1" applyFont="1" applyFill="1" applyBorder="1" applyAlignment="1" applyProtection="1">
      <alignment horizontal="right"/>
      <protection locked="0"/>
    </xf>
    <xf numFmtId="178" fontId="14" fillId="14" borderId="3" xfId="0" applyNumberFormat="1" applyFont="1" applyFill="1" applyBorder="1" applyAlignment="1" applyProtection="1">
      <alignment horizontal="right"/>
      <protection locked="0"/>
    </xf>
    <xf numFmtId="178" fontId="14" fillId="14" borderId="0" xfId="0" applyNumberFormat="1" applyFont="1" applyFill="1" applyBorder="1" applyAlignment="1" applyProtection="1">
      <alignment horizontal="right"/>
      <protection locked="0"/>
    </xf>
    <xf numFmtId="0" fontId="14" fillId="14" borderId="3" xfId="0" applyFont="1" applyFill="1" applyBorder="1" applyAlignment="1" applyProtection="1">
      <alignment horizontal="left" indent="1"/>
      <protection locked="0"/>
    </xf>
    <xf numFmtId="178" fontId="14" fillId="14" borderId="8" xfId="0" applyNumberFormat="1" applyFont="1" applyFill="1" applyBorder="1" applyProtection="1">
      <protection locked="0"/>
    </xf>
    <xf numFmtId="178" fontId="14" fillId="14" borderId="3" xfId="0" applyNumberFormat="1" applyFont="1" applyFill="1" applyBorder="1" applyProtection="1">
      <protection locked="0"/>
    </xf>
    <xf numFmtId="178" fontId="14" fillId="14" borderId="0" xfId="0" applyNumberFormat="1" applyFont="1" applyFill="1" applyBorder="1" applyProtection="1">
      <protection locked="0"/>
    </xf>
    <xf numFmtId="178" fontId="14" fillId="14" borderId="42" xfId="1" applyNumberFormat="1" applyFont="1" applyFill="1" applyBorder="1" applyProtection="1">
      <protection locked="0"/>
    </xf>
    <xf numFmtId="178" fontId="14" fillId="14" borderId="8" xfId="1" applyNumberFormat="1" applyFont="1" applyFill="1" applyBorder="1" applyProtection="1">
      <protection locked="0"/>
    </xf>
    <xf numFmtId="178" fontId="14" fillId="14" borderId="3" xfId="1" applyNumberFormat="1" applyFont="1" applyFill="1" applyBorder="1" applyProtection="1">
      <protection locked="0"/>
    </xf>
    <xf numFmtId="178" fontId="14" fillId="14" borderId="0" xfId="1" applyNumberFormat="1" applyFont="1" applyFill="1" applyBorder="1" applyProtection="1">
      <protection locked="0"/>
    </xf>
    <xf numFmtId="178" fontId="14" fillId="14" borderId="47" xfId="1" applyNumberFormat="1" applyFont="1" applyFill="1" applyBorder="1" applyProtection="1">
      <protection locked="0"/>
    </xf>
    <xf numFmtId="178" fontId="14" fillId="14" borderId="76" xfId="1" applyNumberFormat="1" applyFont="1" applyFill="1" applyBorder="1" applyProtection="1">
      <protection locked="0"/>
    </xf>
    <xf numFmtId="178" fontId="16" fillId="14" borderId="42" xfId="0" applyNumberFormat="1" applyFont="1" applyFill="1" applyBorder="1" applyProtection="1">
      <protection locked="0"/>
    </xf>
    <xf numFmtId="178" fontId="16" fillId="14" borderId="8" xfId="0" applyNumberFormat="1" applyFont="1" applyFill="1" applyBorder="1" applyProtection="1">
      <protection locked="0"/>
    </xf>
    <xf numFmtId="178" fontId="16" fillId="14" borderId="3" xfId="0" applyNumberFormat="1" applyFont="1" applyFill="1" applyBorder="1" applyProtection="1">
      <protection locked="0"/>
    </xf>
    <xf numFmtId="178" fontId="16" fillId="14" borderId="0" xfId="0" applyNumberFormat="1" applyFont="1" applyFill="1" applyBorder="1" applyProtection="1">
      <protection locked="0"/>
    </xf>
    <xf numFmtId="0" fontId="14" fillId="14" borderId="0" xfId="0" applyFont="1" applyFill="1" applyProtection="1">
      <protection locked="0"/>
    </xf>
    <xf numFmtId="0" fontId="21" fillId="14" borderId="0" xfId="0" applyFont="1" applyFill="1" applyProtection="1">
      <protection locked="0"/>
    </xf>
    <xf numFmtId="178" fontId="14" fillId="14" borderId="71" xfId="0" applyNumberFormat="1" applyFont="1" applyFill="1" applyBorder="1" applyProtection="1">
      <protection locked="0"/>
    </xf>
    <xf numFmtId="178" fontId="14" fillId="14" borderId="72" xfId="0" applyNumberFormat="1" applyFont="1" applyFill="1" applyBorder="1" applyProtection="1">
      <protection locked="0"/>
    </xf>
    <xf numFmtId="178" fontId="14" fillId="14" borderId="68" xfId="0" applyNumberFormat="1" applyFont="1" applyFill="1" applyBorder="1" applyProtection="1">
      <protection locked="0"/>
    </xf>
    <xf numFmtId="179" fontId="14" fillId="14" borderId="42" xfId="0" applyNumberFormat="1" applyFont="1" applyFill="1" applyBorder="1" applyProtection="1">
      <protection locked="0"/>
    </xf>
    <xf numFmtId="179" fontId="14" fillId="14" borderId="3" xfId="1" applyNumberFormat="1" applyFont="1" applyFill="1" applyBorder="1" applyProtection="1">
      <protection locked="0"/>
    </xf>
    <xf numFmtId="179" fontId="14" fillId="14" borderId="42" xfId="1" applyNumberFormat="1" applyFont="1" applyFill="1" applyBorder="1" applyProtection="1">
      <protection locked="0"/>
    </xf>
    <xf numFmtId="179" fontId="14" fillId="14" borderId="8" xfId="1" applyNumberFormat="1" applyFont="1" applyFill="1" applyBorder="1" applyProtection="1">
      <protection locked="0"/>
    </xf>
    <xf numFmtId="179" fontId="14" fillId="14" borderId="0" xfId="1" applyNumberFormat="1" applyFont="1" applyFill="1" applyBorder="1" applyProtection="1">
      <protection locked="0"/>
    </xf>
    <xf numFmtId="172" fontId="14" fillId="14" borderId="42" xfId="0" applyNumberFormat="1" applyFont="1" applyFill="1" applyBorder="1" applyProtection="1">
      <protection locked="0"/>
    </xf>
    <xf numFmtId="172" fontId="14" fillId="14" borderId="8" xfId="0" applyNumberFormat="1" applyFont="1" applyFill="1" applyBorder="1" applyProtection="1">
      <protection locked="0"/>
    </xf>
    <xf numFmtId="172" fontId="14" fillId="14" borderId="0" xfId="0" applyNumberFormat="1" applyFont="1" applyFill="1" applyBorder="1" applyProtection="1">
      <protection locked="0"/>
    </xf>
    <xf numFmtId="0" fontId="14" fillId="14" borderId="4" xfId="0" applyFont="1" applyFill="1" applyBorder="1" applyProtection="1">
      <protection locked="0"/>
    </xf>
    <xf numFmtId="178" fontId="14" fillId="14" borderId="36" xfId="0" applyNumberFormat="1" applyFont="1" applyFill="1" applyBorder="1" applyProtection="1">
      <protection locked="0"/>
    </xf>
    <xf numFmtId="178" fontId="14" fillId="14" borderId="10" xfId="0" applyNumberFormat="1" applyFont="1" applyFill="1" applyBorder="1" applyProtection="1">
      <protection locked="0"/>
    </xf>
    <xf numFmtId="178" fontId="14" fillId="14" borderId="4" xfId="0" applyNumberFormat="1" applyFont="1" applyFill="1" applyBorder="1" applyProtection="1">
      <protection locked="0"/>
    </xf>
    <xf numFmtId="171" fontId="14" fillId="14" borderId="8" xfId="6" applyNumberFormat="1" applyFont="1" applyFill="1" applyBorder="1" applyAlignment="1" applyProtection="1">
      <alignment horizontal="center" vertical="top" wrapText="1"/>
      <protection locked="0"/>
    </xf>
    <xf numFmtId="0" fontId="14" fillId="14" borderId="47" xfId="6" applyNumberFormat="1" applyFont="1" applyFill="1" applyBorder="1" applyAlignment="1" applyProtection="1">
      <alignment horizontal="center" vertical="top" wrapText="1"/>
      <protection locked="0"/>
    </xf>
    <xf numFmtId="0" fontId="14" fillId="14" borderId="42" xfId="0" applyNumberFormat="1" applyFont="1" applyFill="1" applyBorder="1" applyAlignment="1" applyProtection="1">
      <alignment horizontal="center" vertical="top" wrapText="1"/>
      <protection locked="0"/>
    </xf>
    <xf numFmtId="0" fontId="14" fillId="14" borderId="8" xfId="0" applyNumberFormat="1" applyFont="1" applyFill="1" applyBorder="1" applyAlignment="1" applyProtection="1">
      <alignment horizontal="center" vertical="top" wrapText="1"/>
      <protection locked="0"/>
    </xf>
    <xf numFmtId="0" fontId="14" fillId="14" borderId="3" xfId="0" applyNumberFormat="1" applyFont="1" applyFill="1" applyBorder="1" applyAlignment="1" applyProtection="1">
      <alignment horizontal="center" vertical="top" wrapText="1"/>
      <protection locked="0"/>
    </xf>
    <xf numFmtId="0" fontId="14" fillId="14" borderId="0" xfId="0" applyNumberFormat="1" applyFont="1" applyFill="1" applyBorder="1" applyAlignment="1" applyProtection="1">
      <alignment horizontal="center" vertical="top" wrapText="1"/>
      <protection locked="0"/>
    </xf>
    <xf numFmtId="171" fontId="14" fillId="14" borderId="47" xfId="6" applyNumberFormat="1" applyFont="1" applyFill="1" applyBorder="1" applyAlignment="1" applyProtection="1">
      <alignment horizontal="center" vertical="top" wrapText="1"/>
      <protection locked="0"/>
    </xf>
    <xf numFmtId="171" fontId="14" fillId="14" borderId="42" xfId="6" applyNumberFormat="1" applyFont="1" applyFill="1" applyBorder="1" applyAlignment="1" applyProtection="1">
      <alignment horizontal="center" vertical="top" wrapText="1"/>
      <protection locked="0"/>
    </xf>
    <xf numFmtId="171" fontId="14" fillId="14" borderId="3" xfId="6" applyNumberFormat="1" applyFont="1" applyFill="1" applyBorder="1" applyAlignment="1" applyProtection="1">
      <alignment horizontal="center" vertical="top" wrapText="1"/>
      <protection locked="0"/>
    </xf>
    <xf numFmtId="171" fontId="14" fillId="14" borderId="0" xfId="6" applyNumberFormat="1" applyFont="1" applyFill="1" applyBorder="1" applyAlignment="1" applyProtection="1">
      <alignment horizontal="center" vertical="top" wrapText="1"/>
      <protection locked="0"/>
    </xf>
    <xf numFmtId="171" fontId="14" fillId="14" borderId="47" xfId="0" applyNumberFormat="1" applyFont="1" applyFill="1" applyBorder="1" applyAlignment="1" applyProtection="1">
      <alignment horizontal="center" vertical="top" wrapText="1"/>
      <protection locked="0"/>
    </xf>
    <xf numFmtId="171" fontId="14" fillId="14" borderId="42" xfId="0" applyNumberFormat="1" applyFont="1" applyFill="1" applyBorder="1" applyAlignment="1" applyProtection="1">
      <alignment horizontal="center" vertical="top" wrapText="1"/>
      <protection locked="0"/>
    </xf>
    <xf numFmtId="171" fontId="14" fillId="14" borderId="8" xfId="0" applyNumberFormat="1" applyFont="1" applyFill="1" applyBorder="1" applyAlignment="1" applyProtection="1">
      <alignment horizontal="center" vertical="top" wrapText="1"/>
      <protection locked="0"/>
    </xf>
    <xf numFmtId="171" fontId="14" fillId="14" borderId="3" xfId="0" applyNumberFormat="1" applyFont="1" applyFill="1" applyBorder="1" applyAlignment="1" applyProtection="1">
      <alignment horizontal="center" vertical="top" wrapText="1"/>
      <protection locked="0"/>
    </xf>
    <xf numFmtId="171" fontId="14" fillId="14" borderId="0" xfId="0" applyNumberFormat="1" applyFont="1" applyFill="1" applyBorder="1" applyAlignment="1" applyProtection="1">
      <alignment horizontal="center" vertical="top" wrapText="1"/>
      <protection locked="0"/>
    </xf>
    <xf numFmtId="171" fontId="14" fillId="14" borderId="2" xfId="0" applyNumberFormat="1" applyFont="1" applyFill="1" applyBorder="1" applyAlignment="1" applyProtection="1">
      <alignment horizontal="center"/>
      <protection locked="0"/>
    </xf>
    <xf numFmtId="0" fontId="19" fillId="14" borderId="0" xfId="0" applyFont="1" applyFill="1" applyProtection="1">
      <protection locked="0"/>
    </xf>
    <xf numFmtId="0" fontId="16" fillId="14" borderId="0" xfId="0" applyNumberFormat="1" applyFont="1" applyFill="1" applyBorder="1" applyAlignment="1" applyProtection="1">
      <alignment horizontal="center"/>
      <protection locked="0"/>
    </xf>
    <xf numFmtId="0" fontId="14" fillId="14" borderId="0" xfId="0" applyNumberFormat="1" applyFont="1" applyFill="1" applyBorder="1" applyAlignment="1" applyProtection="1">
      <alignment horizontal="center"/>
      <protection locked="0"/>
    </xf>
    <xf numFmtId="0" fontId="14" fillId="14" borderId="42" xfId="0" applyNumberFormat="1" applyFont="1" applyFill="1" applyBorder="1" applyAlignment="1" applyProtection="1">
      <alignment horizontal="center"/>
      <protection locked="0"/>
    </xf>
    <xf numFmtId="0" fontId="14" fillId="14" borderId="76" xfId="0" applyNumberFormat="1" applyFont="1" applyFill="1" applyBorder="1" applyAlignment="1" applyProtection="1">
      <alignment horizontal="center"/>
      <protection locked="0"/>
    </xf>
    <xf numFmtId="0" fontId="14" fillId="14" borderId="8" xfId="0" applyNumberFormat="1" applyFont="1" applyFill="1" applyBorder="1" applyAlignment="1" applyProtection="1">
      <alignment horizontal="center"/>
      <protection locked="0"/>
    </xf>
    <xf numFmtId="179" fontId="16" fillId="14" borderId="42" xfId="0" applyNumberFormat="1" applyFont="1" applyFill="1" applyBorder="1" applyAlignment="1" applyProtection="1">
      <protection locked="0"/>
    </xf>
    <xf numFmtId="179" fontId="16" fillId="14" borderId="76" xfId="0" applyNumberFormat="1" applyFont="1" applyFill="1" applyBorder="1" applyAlignment="1" applyProtection="1">
      <protection locked="0"/>
    </xf>
    <xf numFmtId="179" fontId="14" fillId="14" borderId="0" xfId="1" applyNumberFormat="1" applyFont="1" applyFill="1" applyBorder="1" applyAlignment="1" applyProtection="1">
      <protection locked="0"/>
    </xf>
    <xf numFmtId="179" fontId="16" fillId="14" borderId="8" xfId="0" applyNumberFormat="1" applyFont="1" applyFill="1" applyBorder="1" applyAlignment="1" applyProtection="1">
      <protection locked="0"/>
    </xf>
    <xf numFmtId="179" fontId="14" fillId="14" borderId="42" xfId="0" applyNumberFormat="1" applyFont="1" applyFill="1" applyBorder="1" applyAlignment="1" applyProtection="1">
      <protection locked="0"/>
    </xf>
    <xf numFmtId="179" fontId="14" fillId="14" borderId="76" xfId="0" applyNumberFormat="1" applyFont="1" applyFill="1" applyBorder="1" applyAlignment="1" applyProtection="1">
      <protection locked="0"/>
    </xf>
    <xf numFmtId="179" fontId="14" fillId="14" borderId="8" xfId="0" applyNumberFormat="1" applyFont="1" applyFill="1" applyBorder="1" applyAlignment="1" applyProtection="1">
      <protection locked="0"/>
    </xf>
    <xf numFmtId="14" fontId="14" fillId="14" borderId="42" xfId="0" applyNumberFormat="1" applyFont="1" applyFill="1" applyBorder="1" applyAlignment="1" applyProtection="1">
      <alignment horizontal="center"/>
      <protection locked="0"/>
    </xf>
    <xf numFmtId="14" fontId="14" fillId="14" borderId="8" xfId="0" applyNumberFormat="1" applyFont="1" applyFill="1" applyBorder="1" applyAlignment="1" applyProtection="1">
      <alignment horizontal="center"/>
      <protection locked="0"/>
    </xf>
    <xf numFmtId="14" fontId="14" fillId="14" borderId="3" xfId="0" applyNumberFormat="1" applyFont="1" applyFill="1" applyBorder="1" applyAlignment="1" applyProtection="1">
      <alignment horizontal="center"/>
      <protection locked="0"/>
    </xf>
    <xf numFmtId="0" fontId="16" fillId="14" borderId="42" xfId="0" applyNumberFormat="1" applyFont="1" applyFill="1" applyBorder="1" applyAlignment="1" applyProtection="1">
      <alignment horizontal="center"/>
      <protection locked="0"/>
    </xf>
    <xf numFmtId="0" fontId="16" fillId="14" borderId="8" xfId="0" applyNumberFormat="1" applyFont="1" applyFill="1" applyBorder="1" applyAlignment="1" applyProtection="1">
      <alignment horizontal="center"/>
      <protection locked="0"/>
    </xf>
    <xf numFmtId="0" fontId="16" fillId="14" borderId="3" xfId="0" applyNumberFormat="1" applyFont="1" applyFill="1" applyBorder="1" applyAlignment="1" applyProtection="1">
      <alignment horizontal="center"/>
      <protection locked="0"/>
    </xf>
    <xf numFmtId="0" fontId="14" fillId="14" borderId="3" xfId="0" applyNumberFormat="1" applyFont="1" applyFill="1" applyBorder="1" applyAlignment="1" applyProtection="1">
      <alignment horizontal="center"/>
      <protection locked="0"/>
    </xf>
    <xf numFmtId="179" fontId="16" fillId="14" borderId="42" xfId="1" applyNumberFormat="1" applyFont="1" applyFill="1" applyBorder="1" applyAlignment="1" applyProtection="1">
      <protection locked="0"/>
    </xf>
    <xf numFmtId="179" fontId="16" fillId="14" borderId="8" xfId="1" applyNumberFormat="1" applyFont="1" applyFill="1" applyBorder="1" applyAlignment="1" applyProtection="1">
      <protection locked="0"/>
    </xf>
    <xf numFmtId="179" fontId="14" fillId="14" borderId="3" xfId="1" applyNumberFormat="1" applyFont="1" applyFill="1" applyBorder="1" applyAlignment="1" applyProtection="1">
      <protection locked="0"/>
    </xf>
    <xf numFmtId="179" fontId="14" fillId="14" borderId="42" xfId="1" applyNumberFormat="1" applyFont="1" applyFill="1" applyBorder="1" applyAlignment="1" applyProtection="1">
      <protection locked="0"/>
    </xf>
    <xf numFmtId="179" fontId="14" fillId="14" borderId="8" xfId="1" applyNumberFormat="1" applyFont="1" applyFill="1" applyBorder="1" applyAlignment="1" applyProtection="1">
      <protection locked="0"/>
    </xf>
    <xf numFmtId="177" fontId="14" fillId="14" borderId="42" xfId="1" applyNumberFormat="1" applyFont="1" applyFill="1" applyBorder="1" applyProtection="1">
      <protection locked="0"/>
    </xf>
    <xf numFmtId="177" fontId="14" fillId="14" borderId="8" xfId="1" applyNumberFormat="1" applyFont="1" applyFill="1" applyBorder="1" applyProtection="1">
      <protection locked="0"/>
    </xf>
    <xf numFmtId="177" fontId="14" fillId="14" borderId="3" xfId="1" applyNumberFormat="1" applyFont="1" applyFill="1" applyBorder="1" applyProtection="1">
      <protection locked="0"/>
    </xf>
    <xf numFmtId="179" fontId="14" fillId="14" borderId="76" xfId="1" applyNumberFormat="1" applyFont="1" applyFill="1" applyBorder="1" applyAlignment="1" applyProtection="1">
      <protection locked="0"/>
    </xf>
    <xf numFmtId="177" fontId="14" fillId="14" borderId="76" xfId="1" applyNumberFormat="1" applyFont="1" applyFill="1" applyBorder="1" applyProtection="1">
      <protection locked="0"/>
    </xf>
    <xf numFmtId="177" fontId="14" fillId="14" borderId="0" xfId="1" applyNumberFormat="1" applyFont="1" applyFill="1" applyBorder="1" applyProtection="1">
      <protection locked="0"/>
    </xf>
    <xf numFmtId="177" fontId="14" fillId="14" borderId="42" xfId="0" applyNumberFormat="1" applyFont="1" applyFill="1" applyBorder="1" applyProtection="1">
      <protection locked="0"/>
    </xf>
    <xf numFmtId="177" fontId="14" fillId="14" borderId="8" xfId="0" applyNumberFormat="1" applyFont="1" applyFill="1" applyBorder="1" applyProtection="1">
      <protection locked="0"/>
    </xf>
    <xf numFmtId="177" fontId="14" fillId="14" borderId="3" xfId="0" applyNumberFormat="1" applyFont="1" applyFill="1" applyBorder="1" applyProtection="1">
      <protection locked="0"/>
    </xf>
    <xf numFmtId="177" fontId="14" fillId="14" borderId="76" xfId="0" applyNumberFormat="1" applyFont="1" applyFill="1" applyBorder="1" applyProtection="1">
      <protection locked="0"/>
    </xf>
    <xf numFmtId="177" fontId="14" fillId="14" borderId="0" xfId="0" applyNumberFormat="1" applyFont="1" applyFill="1" applyBorder="1" applyProtection="1">
      <protection locked="0"/>
    </xf>
    <xf numFmtId="177" fontId="16" fillId="14" borderId="42" xfId="0" applyNumberFormat="1" applyFont="1" applyFill="1" applyBorder="1" applyProtection="1">
      <protection locked="0"/>
    </xf>
    <xf numFmtId="177" fontId="16" fillId="14" borderId="8" xfId="0" applyNumberFormat="1" applyFont="1" applyFill="1" applyBorder="1" applyProtection="1">
      <protection locked="0"/>
    </xf>
    <xf numFmtId="167" fontId="14" fillId="14" borderId="42" xfId="1" applyFont="1" applyFill="1" applyBorder="1" applyProtection="1">
      <protection locked="0"/>
    </xf>
    <xf numFmtId="167" fontId="14" fillId="14" borderId="8" xfId="1" applyFont="1" applyFill="1" applyBorder="1" applyProtection="1">
      <protection locked="0"/>
    </xf>
    <xf numFmtId="167" fontId="14" fillId="14" borderId="3" xfId="1" applyFont="1" applyFill="1" applyBorder="1" applyProtection="1">
      <protection locked="0"/>
    </xf>
    <xf numFmtId="167" fontId="14" fillId="14" borderId="76" xfId="1" applyFont="1" applyFill="1" applyBorder="1" applyProtection="1">
      <protection locked="0"/>
    </xf>
    <xf numFmtId="167" fontId="14" fillId="14" borderId="0" xfId="1" applyFont="1" applyFill="1" applyBorder="1" applyProtection="1">
      <protection locked="0"/>
    </xf>
    <xf numFmtId="0" fontId="14" fillId="14" borderId="0" xfId="1" applyNumberFormat="1" applyFont="1" applyFill="1" applyBorder="1" applyAlignment="1" applyProtection="1">
      <alignment horizontal="center"/>
      <protection locked="0"/>
    </xf>
    <xf numFmtId="0" fontId="14" fillId="14" borderId="8" xfId="1" applyNumberFormat="1" applyFont="1" applyFill="1" applyBorder="1" applyAlignment="1" applyProtection="1">
      <alignment horizontal="center"/>
      <protection locked="0"/>
    </xf>
    <xf numFmtId="0" fontId="14" fillId="14" borderId="3" xfId="1" applyNumberFormat="1" applyFont="1" applyFill="1" applyBorder="1" applyAlignment="1" applyProtection="1">
      <alignment horizontal="center"/>
      <protection locked="0"/>
    </xf>
    <xf numFmtId="174" fontId="14" fillId="14" borderId="42" xfId="0" applyNumberFormat="1" applyFont="1" applyFill="1" applyBorder="1" applyAlignment="1" applyProtection="1">
      <alignment horizontal="center"/>
      <protection locked="0"/>
    </xf>
    <xf numFmtId="174" fontId="14" fillId="14" borderId="8" xfId="0" applyNumberFormat="1" applyFont="1" applyFill="1" applyBorder="1" applyAlignment="1" applyProtection="1">
      <alignment horizontal="center"/>
      <protection locked="0"/>
    </xf>
    <xf numFmtId="174" fontId="14" fillId="14" borderId="3" xfId="0" applyNumberFormat="1" applyFont="1" applyFill="1" applyBorder="1" applyAlignment="1" applyProtection="1">
      <alignment horizontal="center"/>
      <protection locked="0"/>
    </xf>
    <xf numFmtId="174" fontId="14" fillId="14" borderId="0" xfId="0" applyNumberFormat="1" applyFont="1" applyFill="1" applyBorder="1" applyAlignment="1" applyProtection="1">
      <alignment horizontal="center"/>
      <protection locked="0"/>
    </xf>
    <xf numFmtId="174" fontId="14" fillId="14" borderId="42" xfId="6" applyNumberFormat="1" applyFont="1" applyFill="1" applyBorder="1" applyAlignment="1" applyProtection="1">
      <alignment horizontal="center"/>
      <protection locked="0"/>
    </xf>
    <xf numFmtId="174" fontId="14" fillId="14" borderId="8" xfId="6" applyNumberFormat="1" applyFont="1" applyFill="1" applyBorder="1" applyAlignment="1" applyProtection="1">
      <alignment horizontal="center"/>
      <protection locked="0"/>
    </xf>
    <xf numFmtId="174" fontId="14" fillId="14" borderId="3" xfId="6" applyNumberFormat="1" applyFont="1" applyFill="1" applyBorder="1" applyAlignment="1" applyProtection="1">
      <alignment horizontal="center"/>
      <protection locked="0"/>
    </xf>
    <xf numFmtId="174" fontId="14" fillId="14" borderId="76" xfId="6" applyNumberFormat="1" applyFont="1" applyFill="1" applyBorder="1" applyAlignment="1" applyProtection="1">
      <alignment horizontal="center"/>
      <protection locked="0"/>
    </xf>
    <xf numFmtId="174" fontId="14" fillId="14" borderId="0" xfId="6" applyNumberFormat="1" applyFont="1" applyFill="1" applyBorder="1" applyAlignment="1" applyProtection="1">
      <alignment horizontal="center"/>
      <protection locked="0"/>
    </xf>
    <xf numFmtId="178" fontId="14" fillId="14" borderId="42" xfId="6" applyNumberFormat="1" applyFont="1" applyFill="1" applyBorder="1" applyAlignment="1" applyProtection="1">
      <alignment horizontal="center"/>
      <protection locked="0"/>
    </xf>
    <xf numFmtId="178" fontId="14" fillId="14" borderId="8" xfId="6" applyNumberFormat="1" applyFont="1" applyFill="1" applyBorder="1" applyAlignment="1" applyProtection="1">
      <alignment horizontal="center"/>
      <protection locked="0"/>
    </xf>
    <xf numFmtId="178" fontId="14" fillId="14" borderId="3" xfId="6" applyNumberFormat="1" applyFont="1" applyFill="1" applyBorder="1" applyAlignment="1" applyProtection="1">
      <alignment horizontal="center"/>
      <protection locked="0"/>
    </xf>
    <xf numFmtId="178" fontId="14" fillId="14" borderId="76" xfId="6" applyNumberFormat="1" applyFont="1" applyFill="1" applyBorder="1" applyAlignment="1" applyProtection="1">
      <alignment horizontal="center"/>
      <protection locked="0"/>
    </xf>
    <xf numFmtId="178" fontId="14" fillId="14" borderId="0" xfId="6" applyNumberFormat="1" applyFont="1" applyFill="1" applyBorder="1" applyAlignment="1" applyProtection="1">
      <alignment horizontal="center"/>
      <protection locked="0"/>
    </xf>
    <xf numFmtId="178" fontId="14" fillId="14" borderId="46" xfId="6" applyNumberFormat="1" applyFont="1" applyFill="1" applyBorder="1" applyAlignment="1" applyProtection="1">
      <alignment horizontal="center"/>
      <protection locked="0"/>
    </xf>
    <xf numFmtId="178" fontId="14" fillId="14" borderId="49" xfId="6" applyNumberFormat="1" applyFont="1" applyFill="1" applyBorder="1" applyAlignment="1" applyProtection="1">
      <alignment horizontal="center"/>
      <protection locked="0"/>
    </xf>
    <xf numFmtId="178" fontId="14" fillId="14" borderId="50" xfId="6" applyNumberFormat="1" applyFont="1" applyFill="1" applyBorder="1" applyAlignment="1" applyProtection="1">
      <alignment horizontal="center"/>
      <protection locked="0"/>
    </xf>
    <xf numFmtId="178" fontId="14" fillId="14" borderId="79" xfId="6" applyNumberFormat="1" applyFont="1" applyFill="1" applyBorder="1" applyAlignment="1" applyProtection="1">
      <alignment horizontal="center"/>
      <protection locked="0"/>
    </xf>
    <xf numFmtId="178" fontId="14" fillId="14" borderId="48" xfId="6" applyNumberFormat="1" applyFont="1" applyFill="1" applyBorder="1" applyAlignment="1" applyProtection="1">
      <alignment horizontal="center"/>
      <protection locked="0"/>
    </xf>
    <xf numFmtId="178" fontId="14" fillId="14" borderId="49" xfId="0" applyNumberFormat="1" applyFont="1" applyFill="1" applyBorder="1" applyProtection="1">
      <protection locked="0"/>
    </xf>
    <xf numFmtId="178" fontId="14" fillId="14" borderId="71" xfId="6" applyNumberFormat="1" applyFont="1" applyFill="1" applyBorder="1" applyAlignment="1" applyProtection="1">
      <alignment horizontal="center"/>
      <protection locked="0"/>
    </xf>
    <xf numFmtId="178" fontId="14" fillId="14" borderId="72" xfId="6" applyNumberFormat="1" applyFont="1" applyFill="1" applyBorder="1" applyAlignment="1" applyProtection="1">
      <alignment horizontal="center"/>
      <protection locked="0"/>
    </xf>
    <xf numFmtId="178" fontId="14" fillId="14" borderId="68" xfId="6" applyNumberFormat="1" applyFont="1" applyFill="1" applyBorder="1" applyAlignment="1" applyProtection="1">
      <alignment horizontal="center"/>
      <protection locked="0"/>
    </xf>
    <xf numFmtId="178" fontId="14" fillId="14" borderId="97" xfId="6" applyNumberFormat="1" applyFont="1" applyFill="1" applyBorder="1" applyAlignment="1" applyProtection="1">
      <alignment horizontal="center"/>
      <protection locked="0"/>
    </xf>
    <xf numFmtId="178" fontId="14" fillId="14" borderId="73" xfId="6" applyNumberFormat="1" applyFont="1" applyFill="1" applyBorder="1" applyAlignment="1" applyProtection="1">
      <alignment horizontal="center"/>
      <protection locked="0"/>
    </xf>
    <xf numFmtId="179" fontId="14" fillId="14" borderId="76" xfId="1" applyNumberFormat="1" applyFont="1" applyFill="1" applyBorder="1" applyProtection="1">
      <protection locked="0"/>
    </xf>
    <xf numFmtId="179" fontId="14" fillId="14" borderId="76" xfId="0" applyNumberFormat="1" applyFont="1" applyFill="1" applyBorder="1" applyProtection="1">
      <protection locked="0"/>
    </xf>
    <xf numFmtId="0" fontId="14" fillId="14" borderId="42" xfId="1" applyNumberFormat="1" applyFont="1" applyFill="1" applyBorder="1" applyAlignment="1" applyProtection="1">
      <alignment horizontal="center"/>
      <protection locked="0"/>
    </xf>
    <xf numFmtId="0" fontId="14" fillId="14" borderId="76" xfId="1" applyNumberFormat="1" applyFont="1" applyFill="1" applyBorder="1" applyAlignment="1" applyProtection="1">
      <alignment horizontal="center"/>
      <protection locked="0"/>
    </xf>
    <xf numFmtId="177" fontId="16" fillId="14" borderId="76" xfId="0" applyNumberFormat="1" applyFont="1" applyFill="1" applyBorder="1" applyProtection="1">
      <protection locked="0"/>
    </xf>
    <xf numFmtId="181" fontId="14" fillId="14" borderId="42" xfId="1" applyNumberFormat="1" applyFont="1" applyFill="1" applyBorder="1" applyProtection="1">
      <protection locked="0"/>
    </xf>
    <xf numFmtId="181" fontId="14" fillId="14" borderId="76" xfId="1" applyNumberFormat="1" applyFont="1" applyFill="1" applyBorder="1" applyProtection="1">
      <protection locked="0"/>
    </xf>
    <xf numFmtId="178" fontId="14" fillId="14" borderId="46" xfId="1" applyNumberFormat="1" applyFont="1" applyFill="1" applyBorder="1" applyProtection="1">
      <protection locked="0"/>
    </xf>
    <xf numFmtId="178" fontId="14" fillId="14" borderId="79" xfId="1" applyNumberFormat="1" applyFont="1" applyFill="1" applyBorder="1" applyProtection="1">
      <protection locked="0"/>
    </xf>
    <xf numFmtId="182" fontId="14" fillId="14" borderId="42" xfId="1" applyNumberFormat="1" applyFont="1" applyFill="1" applyBorder="1" applyAlignment="1" applyProtection="1">
      <alignment vertical="top" wrapText="1"/>
      <protection locked="0"/>
    </xf>
    <xf numFmtId="182" fontId="14" fillId="14" borderId="8" xfId="1" applyNumberFormat="1" applyFont="1" applyFill="1" applyBorder="1" applyAlignment="1" applyProtection="1">
      <alignment vertical="top" wrapText="1"/>
      <protection locked="0"/>
    </xf>
    <xf numFmtId="182" fontId="14" fillId="14" borderId="3" xfId="1" applyNumberFormat="1" applyFont="1" applyFill="1" applyBorder="1" applyAlignment="1" applyProtection="1">
      <alignment vertical="top" wrapText="1"/>
      <protection locked="0"/>
    </xf>
    <xf numFmtId="182" fontId="14" fillId="14" borderId="0" xfId="1" applyNumberFormat="1" applyFont="1" applyFill="1" applyBorder="1" applyAlignment="1" applyProtection="1">
      <alignment vertical="top" wrapText="1"/>
      <protection locked="0"/>
    </xf>
    <xf numFmtId="183" fontId="14" fillId="14" borderId="1" xfId="6" applyNumberFormat="1" applyFont="1" applyFill="1" applyBorder="1" applyAlignment="1" applyProtection="1">
      <alignment vertical="top" wrapText="1"/>
      <protection locked="0"/>
    </xf>
    <xf numFmtId="0" fontId="14" fillId="14" borderId="3" xfId="0" applyNumberFormat="1" applyFont="1" applyFill="1" applyBorder="1" applyAlignment="1" applyProtection="1">
      <alignment horizontal="left" indent="1"/>
      <protection locked="0"/>
    </xf>
    <xf numFmtId="0" fontId="19" fillId="14" borderId="3" xfId="0" applyNumberFormat="1" applyFont="1" applyFill="1" applyBorder="1" applyAlignment="1" applyProtection="1">
      <alignment horizontal="left" indent="1"/>
      <protection locked="0"/>
    </xf>
    <xf numFmtId="0" fontId="16" fillId="14" borderId="3" xfId="0" applyNumberFormat="1" applyFont="1" applyFill="1" applyBorder="1" applyAlignment="1" applyProtection="1">
      <alignment horizontal="left" indent="1"/>
      <protection locked="0"/>
    </xf>
    <xf numFmtId="179" fontId="14" fillId="14" borderId="42" xfId="1" applyNumberFormat="1" applyFont="1" applyFill="1" applyBorder="1" applyAlignment="1" applyProtection="1">
      <alignment horizontal="center"/>
      <protection locked="0"/>
    </xf>
    <xf numFmtId="179" fontId="16" fillId="14" borderId="42" xfId="1" applyNumberFormat="1" applyFont="1" applyFill="1" applyBorder="1" applyProtection="1">
      <protection locked="0"/>
    </xf>
    <xf numFmtId="179" fontId="16" fillId="14" borderId="42" xfId="1" applyNumberFormat="1" applyFont="1" applyFill="1" applyBorder="1" applyAlignment="1" applyProtection="1">
      <alignment horizontal="center"/>
      <protection locked="0"/>
    </xf>
    <xf numFmtId="179" fontId="16" fillId="14" borderId="8" xfId="1" applyNumberFormat="1" applyFont="1" applyFill="1" applyBorder="1" applyAlignment="1" applyProtection="1">
      <alignment horizontal="center"/>
      <protection locked="0"/>
    </xf>
    <xf numFmtId="179" fontId="16" fillId="14" borderId="3" xfId="6" applyNumberFormat="1" applyFont="1" applyFill="1" applyBorder="1" applyAlignment="1" applyProtection="1">
      <alignment horizontal="center"/>
      <protection locked="0"/>
    </xf>
    <xf numFmtId="179" fontId="16" fillId="14" borderId="42" xfId="6" applyNumberFormat="1" applyFont="1" applyFill="1" applyBorder="1" applyAlignment="1" applyProtection="1">
      <alignment horizontal="center"/>
      <protection locked="0"/>
    </xf>
    <xf numFmtId="179" fontId="16" fillId="14" borderId="76" xfId="6" applyNumberFormat="1" applyFont="1" applyFill="1" applyBorder="1" applyAlignment="1" applyProtection="1">
      <alignment horizontal="center"/>
      <protection locked="0"/>
    </xf>
    <xf numFmtId="179" fontId="16" fillId="14" borderId="0" xfId="6" applyNumberFormat="1" applyFont="1" applyFill="1" applyBorder="1" applyAlignment="1" applyProtection="1">
      <alignment horizontal="center"/>
      <protection locked="0"/>
    </xf>
    <xf numFmtId="179" fontId="16" fillId="14" borderId="8" xfId="6" applyNumberFormat="1" applyFont="1" applyFill="1" applyBorder="1" applyAlignment="1" applyProtection="1">
      <alignment horizontal="center"/>
      <protection locked="0"/>
    </xf>
    <xf numFmtId="179" fontId="16" fillId="14" borderId="36" xfId="1" applyNumberFormat="1" applyFont="1" applyFill="1" applyBorder="1" applyProtection="1">
      <protection locked="0"/>
    </xf>
    <xf numFmtId="179" fontId="16" fillId="14" borderId="36" xfId="1" applyNumberFormat="1" applyFont="1" applyFill="1" applyBorder="1" applyAlignment="1" applyProtection="1">
      <alignment horizontal="center"/>
      <protection locked="0"/>
    </xf>
    <xf numFmtId="179" fontId="16" fillId="14" borderId="10" xfId="1" applyNumberFormat="1" applyFont="1" applyFill="1" applyBorder="1" applyAlignment="1" applyProtection="1">
      <alignment horizontal="center"/>
      <protection locked="0"/>
    </xf>
    <xf numFmtId="179" fontId="16" fillId="14" borderId="4" xfId="6" applyNumberFormat="1" applyFont="1" applyFill="1" applyBorder="1" applyAlignment="1" applyProtection="1">
      <alignment horizontal="center"/>
      <protection locked="0"/>
    </xf>
    <xf numFmtId="179" fontId="16" fillId="14" borderId="36" xfId="6" applyNumberFormat="1" applyFont="1" applyFill="1" applyBorder="1" applyAlignment="1" applyProtection="1">
      <alignment horizontal="center"/>
      <protection locked="0"/>
    </xf>
    <xf numFmtId="179" fontId="16" fillId="14" borderId="77" xfId="6" applyNumberFormat="1" applyFont="1" applyFill="1" applyBorder="1" applyAlignment="1" applyProtection="1">
      <alignment horizontal="center"/>
      <protection locked="0"/>
    </xf>
    <xf numFmtId="179" fontId="16" fillId="14" borderId="9" xfId="6" applyNumberFormat="1" applyFont="1" applyFill="1" applyBorder="1" applyAlignment="1" applyProtection="1">
      <alignment horizontal="center"/>
      <protection locked="0"/>
    </xf>
    <xf numFmtId="179" fontId="16" fillId="14" borderId="10" xfId="6" applyNumberFormat="1" applyFont="1" applyFill="1" applyBorder="1" applyAlignment="1" applyProtection="1">
      <alignment horizontal="center"/>
      <protection locked="0"/>
    </xf>
    <xf numFmtId="177" fontId="14" fillId="14" borderId="47" xfId="0" applyNumberFormat="1" applyFont="1" applyFill="1" applyBorder="1" applyProtection="1">
      <protection locked="0"/>
    </xf>
    <xf numFmtId="177" fontId="16" fillId="14" borderId="70" xfId="0" applyNumberFormat="1" applyFont="1" applyFill="1" applyBorder="1" applyProtection="1">
      <protection locked="0"/>
    </xf>
    <xf numFmtId="177" fontId="16" fillId="14" borderId="71" xfId="0" applyNumberFormat="1" applyFont="1" applyFill="1" applyBorder="1" applyProtection="1">
      <protection locked="0"/>
    </xf>
    <xf numFmtId="177" fontId="16" fillId="14" borderId="72" xfId="0" applyNumberFormat="1" applyFont="1" applyFill="1" applyBorder="1" applyProtection="1">
      <protection locked="0"/>
    </xf>
    <xf numFmtId="177" fontId="16" fillId="14" borderId="68" xfId="0" applyNumberFormat="1" applyFont="1" applyFill="1" applyBorder="1" applyProtection="1">
      <protection locked="0"/>
    </xf>
    <xf numFmtId="177" fontId="16" fillId="14" borderId="73" xfId="0" applyNumberFormat="1" applyFont="1" applyFill="1" applyBorder="1" applyProtection="1">
      <protection locked="0"/>
    </xf>
    <xf numFmtId="0" fontId="14" fillId="14" borderId="3" xfId="0" applyNumberFormat="1" applyFont="1" applyFill="1" applyBorder="1" applyAlignment="1" applyProtection="1">
      <protection locked="0"/>
    </xf>
    <xf numFmtId="0" fontId="14" fillId="14" borderId="42" xfId="0" applyNumberFormat="1" applyFont="1" applyFill="1" applyBorder="1" applyAlignment="1" applyProtection="1">
      <protection locked="0"/>
    </xf>
    <xf numFmtId="184" fontId="14" fillId="14" borderId="42" xfId="0" applyNumberFormat="1" applyFont="1" applyFill="1" applyBorder="1" applyAlignment="1" applyProtection="1">
      <alignment horizontal="center"/>
      <protection locked="0"/>
    </xf>
    <xf numFmtId="184" fontId="14" fillId="14" borderId="42" xfId="0" quotePrefix="1" applyNumberFormat="1" applyFont="1" applyFill="1" applyBorder="1" applyAlignment="1" applyProtection="1">
      <alignment horizontal="center"/>
      <protection locked="0"/>
    </xf>
    <xf numFmtId="0" fontId="16" fillId="14" borderId="4" xfId="0" applyNumberFormat="1" applyFont="1" applyFill="1" applyBorder="1" applyAlignment="1" applyProtection="1">
      <protection locked="0"/>
    </xf>
    <xf numFmtId="0" fontId="14" fillId="14" borderId="36" xfId="0" applyNumberFormat="1" applyFont="1" applyFill="1" applyBorder="1" applyAlignment="1" applyProtection="1">
      <alignment horizontal="center"/>
      <protection locked="0"/>
    </xf>
    <xf numFmtId="0" fontId="14" fillId="14" borderId="36" xfId="0" applyNumberFormat="1" applyFont="1" applyFill="1" applyBorder="1" applyAlignment="1" applyProtection="1">
      <protection locked="0"/>
    </xf>
    <xf numFmtId="0" fontId="14" fillId="14" borderId="36" xfId="0" applyFont="1" applyFill="1" applyBorder="1" applyAlignment="1" applyProtection="1">
      <alignment horizontal="center"/>
      <protection locked="0"/>
    </xf>
    <xf numFmtId="178" fontId="16" fillId="14" borderId="10" xfId="0" applyNumberFormat="1" applyFont="1" applyFill="1" applyBorder="1" applyProtection="1">
      <protection locked="0"/>
    </xf>
    <xf numFmtId="178" fontId="16" fillId="14" borderId="42" xfId="0" applyNumberFormat="1" applyFont="1" applyFill="1" applyBorder="1" applyAlignment="1" applyProtection="1">
      <alignment horizontal="center"/>
      <protection locked="0"/>
    </xf>
    <xf numFmtId="178" fontId="16" fillId="14" borderId="0" xfId="0" applyNumberFormat="1" applyFont="1" applyFill="1" applyBorder="1" applyAlignment="1" applyProtection="1">
      <alignment horizontal="center"/>
      <protection locked="0"/>
    </xf>
    <xf numFmtId="178" fontId="16" fillId="14" borderId="3" xfId="0" applyNumberFormat="1" applyFont="1" applyFill="1" applyBorder="1" applyAlignment="1" applyProtection="1">
      <alignment horizontal="center"/>
      <protection locked="0"/>
    </xf>
    <xf numFmtId="178" fontId="16" fillId="14" borderId="8" xfId="0" applyNumberFormat="1" applyFont="1" applyFill="1" applyBorder="1" applyAlignment="1" applyProtection="1">
      <alignment horizontal="center"/>
      <protection locked="0"/>
    </xf>
    <xf numFmtId="0" fontId="19" fillId="14" borderId="42" xfId="0" applyNumberFormat="1" applyFont="1" applyFill="1" applyBorder="1" applyAlignment="1" applyProtection="1">
      <alignment horizontal="center"/>
      <protection locked="0"/>
    </xf>
    <xf numFmtId="0" fontId="19" fillId="14" borderId="0" xfId="0" applyNumberFormat="1" applyFont="1" applyFill="1" applyBorder="1" applyAlignment="1" applyProtection="1">
      <alignment horizontal="center"/>
      <protection locked="0"/>
    </xf>
    <xf numFmtId="0" fontId="16" fillId="14" borderId="3" xfId="0" applyNumberFormat="1" applyFont="1" applyFill="1" applyBorder="1" applyProtection="1">
      <protection locked="0"/>
    </xf>
    <xf numFmtId="0" fontId="16" fillId="14" borderId="0" xfId="1" applyNumberFormat="1" applyFont="1" applyFill="1" applyBorder="1" applyAlignment="1" applyProtection="1">
      <alignment horizontal="center"/>
      <protection locked="0"/>
    </xf>
    <xf numFmtId="178" fontId="16" fillId="14" borderId="67" xfId="0" applyNumberFormat="1" applyFont="1" applyFill="1" applyBorder="1" applyAlignment="1" applyProtection="1">
      <alignment horizontal="center"/>
      <protection locked="0"/>
    </xf>
    <xf numFmtId="178" fontId="14" fillId="14" borderId="67" xfId="1" applyNumberFormat="1" applyFont="1" applyFill="1" applyBorder="1" applyProtection="1">
      <protection locked="0"/>
    </xf>
    <xf numFmtId="0" fontId="16" fillId="14" borderId="68" xfId="0" applyNumberFormat="1" applyFont="1" applyFill="1" applyBorder="1" applyAlignment="1" applyProtection="1">
      <alignment horizontal="left" indent="1"/>
      <protection locked="0"/>
    </xf>
    <xf numFmtId="179" fontId="14" fillId="14" borderId="71" xfId="1" applyNumberFormat="1" applyFont="1" applyFill="1" applyBorder="1" applyAlignment="1" applyProtection="1">
      <alignment horizontal="center"/>
      <protection locked="0"/>
    </xf>
    <xf numFmtId="0" fontId="14" fillId="14" borderId="73" xfId="1" applyNumberFormat="1" applyFont="1" applyFill="1" applyBorder="1" applyAlignment="1" applyProtection="1">
      <alignment horizontal="center"/>
      <protection locked="0"/>
    </xf>
    <xf numFmtId="178" fontId="14" fillId="14" borderId="69" xfId="0" applyNumberFormat="1" applyFont="1" applyFill="1" applyBorder="1" applyProtection="1">
      <protection locked="0"/>
    </xf>
    <xf numFmtId="0" fontId="17" fillId="14" borderId="3" xfId="0" applyNumberFormat="1" applyFont="1" applyFill="1" applyBorder="1" applyProtection="1">
      <protection locked="0"/>
    </xf>
    <xf numFmtId="0" fontId="14" fillId="14" borderId="4" xfId="0" applyNumberFormat="1" applyFont="1" applyFill="1" applyBorder="1" applyAlignment="1" applyProtection="1">
      <alignment horizontal="left" indent="1"/>
      <protection locked="0"/>
    </xf>
    <xf numFmtId="179" fontId="14" fillId="14" borderId="36" xfId="1" applyNumberFormat="1" applyFont="1" applyFill="1" applyBorder="1" applyAlignment="1" applyProtection="1">
      <alignment horizontal="center"/>
      <protection locked="0"/>
    </xf>
    <xf numFmtId="0" fontId="14" fillId="14" borderId="9" xfId="1" applyNumberFormat="1" applyFont="1" applyFill="1" applyBorder="1" applyAlignment="1" applyProtection="1">
      <alignment horizontal="center"/>
      <protection locked="0"/>
    </xf>
    <xf numFmtId="178" fontId="14" fillId="14" borderId="37" xfId="0" applyNumberFormat="1" applyFont="1" applyFill="1" applyBorder="1" applyProtection="1">
      <protection locked="0"/>
    </xf>
    <xf numFmtId="0" fontId="25" fillId="0" borderId="0" xfId="0" applyFont="1" applyProtection="1"/>
    <xf numFmtId="0" fontId="0" fillId="0" borderId="0" xfId="0" applyFont="1" applyProtection="1"/>
    <xf numFmtId="174" fontId="14" fillId="0" borderId="42" xfId="0" applyNumberFormat="1" applyFont="1" applyBorder="1" applyAlignment="1">
      <alignment horizontal="center"/>
    </xf>
    <xf numFmtId="174" fontId="14" fillId="0" borderId="76" xfId="0" applyNumberFormat="1" applyFont="1" applyBorder="1" applyAlignment="1">
      <alignment horizontal="center"/>
    </xf>
    <xf numFmtId="174" fontId="14" fillId="0" borderId="36" xfId="0" quotePrefix="1" applyNumberFormat="1" applyFont="1" applyBorder="1" applyAlignment="1">
      <alignment horizontal="center"/>
    </xf>
    <xf numFmtId="174" fontId="14" fillId="0" borderId="77" xfId="0" quotePrefix="1" applyNumberFormat="1" applyFont="1" applyBorder="1" applyAlignment="1">
      <alignment horizontal="center"/>
    </xf>
    <xf numFmtId="178" fontId="14" fillId="0" borderId="47" xfId="0" applyNumberFormat="1" applyFont="1" applyBorder="1" applyAlignment="1">
      <alignment horizontal="center"/>
    </xf>
    <xf numFmtId="174" fontId="14" fillId="0" borderId="37" xfId="0" applyNumberFormat="1" applyFont="1" applyBorder="1" applyAlignment="1">
      <alignment horizontal="center"/>
    </xf>
    <xf numFmtId="0" fontId="14" fillId="0" borderId="67" xfId="0" applyFont="1" applyBorder="1"/>
    <xf numFmtId="178" fontId="14" fillId="0" borderId="67" xfId="0" applyNumberFormat="1" applyFont="1" applyBorder="1" applyAlignment="1">
      <alignment horizontal="center"/>
    </xf>
    <xf numFmtId="174" fontId="14" fillId="0" borderId="67" xfId="0" quotePrefix="1" applyNumberFormat="1" applyFont="1" applyBorder="1" applyAlignment="1">
      <alignment horizontal="center"/>
    </xf>
    <xf numFmtId="174" fontId="14" fillId="0" borderId="37" xfId="0" quotePrefix="1" applyNumberFormat="1" applyFont="1" applyBorder="1" applyAlignment="1">
      <alignment horizontal="center"/>
    </xf>
    <xf numFmtId="174" fontId="14" fillId="0" borderId="64" xfId="0" applyNumberFormat="1" applyFont="1" applyBorder="1" applyAlignment="1">
      <alignment horizontal="center"/>
    </xf>
    <xf numFmtId="174" fontId="14" fillId="0" borderId="47" xfId="0" quotePrefix="1" applyNumberFormat="1" applyFont="1" applyBorder="1" applyAlignment="1">
      <alignment horizontal="center"/>
    </xf>
    <xf numFmtId="174" fontId="14" fillId="0" borderId="64" xfId="0" quotePrefix="1" applyNumberFormat="1" applyFont="1" applyBorder="1" applyAlignment="1">
      <alignment horizontal="center"/>
    </xf>
    <xf numFmtId="174" fontId="14" fillId="0" borderId="67" xfId="0" applyNumberFormat="1" applyFont="1" applyBorder="1" applyAlignment="1">
      <alignment horizontal="center"/>
    </xf>
    <xf numFmtId="178" fontId="14" fillId="0" borderId="37" xfId="0" quotePrefix="1" applyNumberFormat="1" applyFont="1" applyBorder="1" applyAlignment="1">
      <alignment horizontal="center"/>
    </xf>
    <xf numFmtId="174" fontId="14" fillId="0" borderId="47" xfId="0" applyNumberFormat="1" applyFont="1" applyBorder="1" applyAlignment="1">
      <alignment horizontal="center"/>
    </xf>
    <xf numFmtId="178" fontId="14" fillId="0" borderId="64" xfId="0" quotePrefix="1" applyNumberFormat="1" applyFont="1" applyBorder="1" applyAlignment="1">
      <alignment horizontal="center"/>
    </xf>
    <xf numFmtId="0" fontId="14" fillId="0" borderId="47" xfId="0" applyFont="1" applyBorder="1" applyAlignment="1">
      <alignment horizontal="center"/>
    </xf>
    <xf numFmtId="174" fontId="14" fillId="0" borderId="99" xfId="0" applyNumberFormat="1" applyFont="1" applyBorder="1" applyAlignment="1">
      <alignment horizontal="center"/>
    </xf>
    <xf numFmtId="0" fontId="32" fillId="0" borderId="12" xfId="0" applyFont="1" applyBorder="1"/>
    <xf numFmtId="0" fontId="33" fillId="0" borderId="3" xfId="0" applyFont="1" applyBorder="1"/>
    <xf numFmtId="0" fontId="34" fillId="0" borderId="3" xfId="0" applyFont="1" applyBorder="1"/>
    <xf numFmtId="0" fontId="33" fillId="0" borderId="11" xfId="0" applyFont="1" applyBorder="1" applyAlignment="1">
      <alignment horizontal="center"/>
    </xf>
    <xf numFmtId="0" fontId="33" fillId="0" borderId="6" xfId="0" applyFont="1" applyBorder="1" applyAlignment="1">
      <alignment horizontal="center"/>
    </xf>
    <xf numFmtId="0" fontId="33" fillId="0" borderId="103" xfId="0" applyFont="1" applyBorder="1" applyAlignment="1">
      <alignment horizontal="center"/>
    </xf>
    <xf numFmtId="0" fontId="33" fillId="0" borderId="43" xfId="0" applyFont="1" applyBorder="1" applyAlignment="1">
      <alignment horizontal="center"/>
    </xf>
    <xf numFmtId="0" fontId="33" fillId="0" borderId="75" xfId="0" applyFont="1" applyBorder="1"/>
    <xf numFmtId="0" fontId="33" fillId="0" borderId="103" xfId="0" applyFont="1" applyBorder="1"/>
    <xf numFmtId="0" fontId="33" fillId="0" borderId="43" xfId="0" applyFont="1" applyBorder="1"/>
    <xf numFmtId="0" fontId="33" fillId="0" borderId="1" xfId="0" applyFont="1" applyBorder="1" applyAlignment="1">
      <alignment horizontal="center"/>
    </xf>
    <xf numFmtId="0" fontId="33" fillId="0" borderId="0" xfId="0" applyFont="1" applyBorder="1" applyAlignment="1">
      <alignment horizontal="center"/>
    </xf>
    <xf numFmtId="178" fontId="33" fillId="0" borderId="99" xfId="0" applyNumberFormat="1" applyFont="1" applyBorder="1" applyAlignment="1">
      <alignment horizontal="center"/>
    </xf>
    <xf numFmtId="0" fontId="33" fillId="0" borderId="4" xfId="0" applyFont="1" applyBorder="1"/>
    <xf numFmtId="0" fontId="33" fillId="0" borderId="5" xfId="0" applyFont="1" applyBorder="1" applyAlignment="1">
      <alignment horizontal="center"/>
    </xf>
    <xf numFmtId="0" fontId="33" fillId="0" borderId="9" xfId="0" applyFont="1" applyBorder="1" applyAlignment="1">
      <alignment horizontal="center"/>
    </xf>
    <xf numFmtId="0" fontId="33" fillId="0" borderId="93" xfId="0" applyFont="1" applyBorder="1" applyAlignment="1">
      <alignment horizontal="center"/>
    </xf>
    <xf numFmtId="0" fontId="33" fillId="0" borderId="36" xfId="0" applyFont="1" applyBorder="1" applyAlignment="1">
      <alignment horizontal="center"/>
    </xf>
    <xf numFmtId="0" fontId="33" fillId="0" borderId="77" xfId="0" applyFont="1" applyBorder="1"/>
    <xf numFmtId="0" fontId="33" fillId="0" borderId="93" xfId="0" applyFont="1" applyBorder="1"/>
    <xf numFmtId="0" fontId="33" fillId="0" borderId="36" xfId="0" applyFont="1" applyBorder="1"/>
    <xf numFmtId="178" fontId="33" fillId="0" borderId="76" xfId="0" applyNumberFormat="1" applyFont="1" applyBorder="1" applyAlignment="1">
      <alignment horizontal="center"/>
    </xf>
    <xf numFmtId="0" fontId="35" fillId="0" borderId="99" xfId="0" applyFont="1" applyBorder="1" applyAlignment="1">
      <alignment horizontal="center"/>
    </xf>
    <xf numFmtId="0" fontId="35" fillId="0" borderId="76" xfId="0" applyFont="1" applyBorder="1" applyAlignment="1">
      <alignment horizontal="center"/>
    </xf>
    <xf numFmtId="172" fontId="14" fillId="15" borderId="42" xfId="0" applyNumberFormat="1" applyFont="1" applyFill="1" applyBorder="1" applyAlignment="1">
      <alignment horizontal="center"/>
    </xf>
    <xf numFmtId="172" fontId="14" fillId="15" borderId="76" xfId="0" applyNumberFormat="1" applyFont="1" applyFill="1" applyBorder="1" applyAlignment="1">
      <alignment horizontal="center"/>
    </xf>
    <xf numFmtId="0" fontId="14" fillId="15" borderId="42" xfId="0" applyNumberFormat="1" applyFont="1" applyFill="1" applyBorder="1" applyAlignment="1">
      <alignment horizontal="center"/>
    </xf>
    <xf numFmtId="0" fontId="14" fillId="15" borderId="8" xfId="0" applyNumberFormat="1" applyFont="1" applyFill="1" applyBorder="1" applyAlignment="1">
      <alignment horizontal="center"/>
    </xf>
    <xf numFmtId="179" fontId="14" fillId="15" borderId="42" xfId="0" applyNumberFormat="1" applyFont="1" applyFill="1" applyBorder="1" applyAlignment="1"/>
    <xf numFmtId="179" fontId="14" fillId="15" borderId="8" xfId="0" applyNumberFormat="1" applyFont="1" applyFill="1" applyBorder="1" applyAlignment="1"/>
    <xf numFmtId="172" fontId="16" fillId="15" borderId="43" xfId="0" applyNumberFormat="1" applyFont="1" applyFill="1" applyBorder="1"/>
    <xf numFmtId="172" fontId="16" fillId="15" borderId="75" xfId="0" applyNumberFormat="1" applyFont="1" applyFill="1" applyBorder="1"/>
    <xf numFmtId="172" fontId="16" fillId="15" borderId="0" xfId="0" applyNumberFormat="1" applyFont="1" applyFill="1" applyBorder="1" applyAlignment="1">
      <alignment horizontal="center"/>
    </xf>
    <xf numFmtId="172" fontId="16" fillId="15" borderId="8" xfId="0" applyNumberFormat="1" applyFont="1" applyFill="1" applyBorder="1"/>
    <xf numFmtId="14" fontId="14" fillId="15" borderId="42" xfId="0" applyNumberFormat="1" applyFont="1" applyFill="1" applyBorder="1" applyAlignment="1">
      <alignment horizontal="center"/>
    </xf>
    <xf numFmtId="14" fontId="14" fillId="15" borderId="76" xfId="0" applyNumberFormat="1" applyFont="1" applyFill="1" applyBorder="1" applyAlignment="1">
      <alignment horizontal="center"/>
    </xf>
    <xf numFmtId="14" fontId="14" fillId="15" borderId="0" xfId="0" applyNumberFormat="1" applyFont="1" applyFill="1" applyBorder="1" applyAlignment="1">
      <alignment horizontal="center"/>
    </xf>
    <xf numFmtId="14" fontId="14" fillId="15" borderId="8" xfId="0" applyNumberFormat="1" applyFont="1" applyFill="1" applyBorder="1" applyAlignment="1">
      <alignment horizontal="center"/>
    </xf>
    <xf numFmtId="172" fontId="16" fillId="15" borderId="42" xfId="0" applyNumberFormat="1" applyFont="1" applyFill="1" applyBorder="1"/>
    <xf numFmtId="172" fontId="16" fillId="15" borderId="76" xfId="0" applyNumberFormat="1" applyFont="1" applyFill="1" applyBorder="1"/>
    <xf numFmtId="172" fontId="16" fillId="15" borderId="42" xfId="0" applyNumberFormat="1" applyFont="1" applyFill="1" applyBorder="1" applyAlignment="1">
      <alignment horizontal="center"/>
    </xf>
    <xf numFmtId="172" fontId="16" fillId="15" borderId="76" xfId="0" applyNumberFormat="1" applyFont="1" applyFill="1" applyBorder="1" applyAlignment="1">
      <alignment horizontal="center"/>
    </xf>
    <xf numFmtId="0" fontId="16" fillId="15" borderId="42" xfId="0" applyNumberFormat="1" applyFont="1" applyFill="1" applyBorder="1" applyAlignment="1">
      <alignment horizontal="center"/>
    </xf>
    <xf numFmtId="0" fontId="16" fillId="15" borderId="8" xfId="0" applyNumberFormat="1" applyFont="1" applyFill="1" applyBorder="1" applyAlignment="1">
      <alignment horizontal="center"/>
    </xf>
    <xf numFmtId="167" fontId="14" fillId="15" borderId="42" xfId="1" applyFont="1" applyFill="1" applyBorder="1" applyAlignment="1">
      <alignment horizontal="center"/>
    </xf>
    <xf numFmtId="167" fontId="14" fillId="15" borderId="76" xfId="1" applyFont="1" applyFill="1" applyBorder="1" applyAlignment="1">
      <alignment horizontal="center"/>
    </xf>
    <xf numFmtId="172" fontId="14" fillId="15" borderId="42" xfId="0" applyNumberFormat="1" applyFont="1" applyFill="1" applyBorder="1"/>
    <xf numFmtId="172" fontId="14" fillId="15" borderId="76" xfId="0" applyNumberFormat="1" applyFont="1" applyFill="1" applyBorder="1"/>
    <xf numFmtId="167" fontId="14" fillId="15" borderId="8" xfId="1" applyFont="1" applyFill="1" applyBorder="1" applyAlignment="1">
      <alignment horizontal="center"/>
    </xf>
    <xf numFmtId="172" fontId="14" fillId="15" borderId="8" xfId="0" applyNumberFormat="1" applyFont="1" applyFill="1" applyBorder="1"/>
    <xf numFmtId="178" fontId="14" fillId="0" borderId="77" xfId="0" applyNumberFormat="1" applyFont="1" applyBorder="1"/>
    <xf numFmtId="0" fontId="8" fillId="0" borderId="0" xfId="2" applyAlignment="1" applyProtection="1">
      <alignment vertical="center"/>
    </xf>
    <xf numFmtId="0" fontId="8" fillId="0" borderId="0" xfId="2" applyAlignment="1" applyProtection="1"/>
    <xf numFmtId="179" fontId="14" fillId="0" borderId="42" xfId="1" applyNumberFormat="1" applyFont="1" applyFill="1" applyBorder="1" applyProtection="1">
      <protection locked="0"/>
    </xf>
    <xf numFmtId="179" fontId="14" fillId="0" borderId="0" xfId="1" applyNumberFormat="1" applyFont="1" applyFill="1" applyBorder="1" applyProtection="1">
      <protection locked="0"/>
    </xf>
    <xf numFmtId="0" fontId="18" fillId="0" borderId="11" xfId="0" applyFont="1" applyBorder="1" applyAlignment="1">
      <alignment horizontal="left"/>
    </xf>
    <xf numFmtId="0" fontId="18" fillId="0" borderId="7" xfId="0" applyFont="1" applyBorder="1" applyAlignment="1">
      <alignment horizontal="center"/>
    </xf>
    <xf numFmtId="0" fontId="41" fillId="0" borderId="3" xfId="0" applyFont="1" applyBorder="1"/>
    <xf numFmtId="0" fontId="42" fillId="0" borderId="1" xfId="0" applyFont="1" applyBorder="1" applyAlignment="1">
      <alignment horizontal="center"/>
    </xf>
    <xf numFmtId="0" fontId="43" fillId="0" borderId="99" xfId="0" applyFont="1" applyBorder="1" applyAlignment="1">
      <alignment horizontal="center"/>
    </xf>
    <xf numFmtId="0" fontId="43" fillId="0" borderId="76" xfId="0" applyFont="1" applyBorder="1" applyAlignment="1">
      <alignment horizontal="center"/>
    </xf>
    <xf numFmtId="0" fontId="44" fillId="0" borderId="0" xfId="0" applyFont="1"/>
    <xf numFmtId="0" fontId="19" fillId="0" borderId="0" xfId="0" applyNumberFormat="1" applyFont="1" applyBorder="1" applyAlignment="1" applyProtection="1">
      <alignment horizontal="left"/>
    </xf>
    <xf numFmtId="174" fontId="14" fillId="15" borderId="42" xfId="1" applyNumberFormat="1" applyFont="1" applyFill="1" applyBorder="1" applyAlignment="1">
      <alignment horizontal="center"/>
    </xf>
    <xf numFmtId="174" fontId="14" fillId="15" borderId="67" xfId="1" applyNumberFormat="1" applyFont="1" applyFill="1" applyBorder="1" applyAlignment="1">
      <alignment horizontal="center"/>
    </xf>
    <xf numFmtId="174" fontId="14" fillId="15" borderId="76" xfId="1" applyNumberFormat="1" applyFont="1" applyFill="1" applyBorder="1" applyAlignment="1">
      <alignment horizontal="center"/>
    </xf>
    <xf numFmtId="174" fontId="14" fillId="15" borderId="0" xfId="1" applyNumberFormat="1" applyFont="1" applyFill="1" applyBorder="1" applyAlignment="1">
      <alignment horizontal="center"/>
    </xf>
    <xf numFmtId="0" fontId="14" fillId="15" borderId="0" xfId="0" applyFont="1" applyFill="1" applyAlignment="1">
      <alignment horizontal="center"/>
    </xf>
    <xf numFmtId="0" fontId="14" fillId="15" borderId="0" xfId="0" applyFont="1" applyFill="1"/>
    <xf numFmtId="0" fontId="14" fillId="15" borderId="8" xfId="0" applyFont="1" applyFill="1" applyBorder="1"/>
    <xf numFmtId="0" fontId="14" fillId="15" borderId="9" xfId="0" applyFont="1" applyFill="1" applyBorder="1" applyAlignment="1">
      <alignment horizontal="center"/>
    </xf>
    <xf numFmtId="0" fontId="14" fillId="15" borderId="9" xfId="0" applyFont="1" applyFill="1" applyBorder="1"/>
    <xf numFmtId="0" fontId="14" fillId="15" borderId="10" xfId="0" applyFont="1" applyFill="1" applyBorder="1"/>
    <xf numFmtId="178" fontId="14" fillId="0" borderId="45" xfId="0" applyNumberFormat="1" applyFont="1" applyBorder="1" applyAlignment="1">
      <alignment horizontal="center"/>
    </xf>
    <xf numFmtId="178" fontId="14" fillId="0" borderId="43" xfId="0" applyNumberFormat="1" applyFont="1" applyBorder="1" applyAlignment="1">
      <alignment horizontal="center"/>
    </xf>
    <xf numFmtId="178" fontId="14" fillId="0" borderId="66" xfId="0" applyNumberFormat="1" applyFont="1" applyBorder="1" applyAlignment="1">
      <alignment horizontal="center"/>
    </xf>
    <xf numFmtId="178" fontId="14" fillId="0" borderId="75" xfId="0" applyNumberFormat="1" applyFont="1" applyBorder="1" applyAlignment="1">
      <alignment horizontal="center"/>
    </xf>
    <xf numFmtId="178" fontId="14" fillId="0" borderId="64" xfId="0" applyNumberFormat="1" applyFont="1" applyBorder="1" applyAlignment="1">
      <alignment horizontal="center"/>
    </xf>
    <xf numFmtId="178" fontId="14" fillId="0" borderId="36" xfId="0" applyNumberFormat="1" applyFont="1" applyBorder="1" applyAlignment="1">
      <alignment horizontal="center"/>
    </xf>
    <xf numFmtId="178" fontId="14" fillId="0" borderId="37" xfId="0" applyNumberFormat="1" applyFont="1" applyBorder="1"/>
    <xf numFmtId="178" fontId="14" fillId="0" borderId="64" xfId="0" applyNumberFormat="1" applyFont="1" applyBorder="1"/>
    <xf numFmtId="0" fontId="18" fillId="0" borderId="45" xfId="0" applyFont="1" applyBorder="1" applyAlignment="1">
      <alignment horizontal="center"/>
    </xf>
    <xf numFmtId="0" fontId="18" fillId="0" borderId="43" xfId="0" applyFont="1" applyBorder="1" applyAlignment="1">
      <alignment horizontal="center"/>
    </xf>
    <xf numFmtId="172" fontId="14" fillId="0" borderId="75" xfId="0" applyNumberFormat="1" applyFont="1" applyBorder="1"/>
    <xf numFmtId="174" fontId="14" fillId="0" borderId="42" xfId="6" applyNumberFormat="1" applyFont="1" applyBorder="1" applyAlignment="1">
      <alignment horizontal="center"/>
    </xf>
    <xf numFmtId="172" fontId="14" fillId="0" borderId="76" xfId="0" applyNumberFormat="1" applyFont="1" applyBorder="1"/>
    <xf numFmtId="174" fontId="14" fillId="0" borderId="47" xfId="6" applyNumberFormat="1" applyFont="1" applyBorder="1" applyAlignment="1">
      <alignment horizontal="center"/>
    </xf>
    <xf numFmtId="174" fontId="14" fillId="0" borderId="76" xfId="6" applyNumberFormat="1" applyFont="1" applyBorder="1" applyAlignment="1">
      <alignment horizontal="center"/>
    </xf>
    <xf numFmtId="178" fontId="14" fillId="15" borderId="47" xfId="0" applyNumberFormat="1" applyFont="1" applyFill="1" applyBorder="1" applyAlignment="1">
      <alignment horizontal="center"/>
    </xf>
    <xf numFmtId="178" fontId="14" fillId="15" borderId="42" xfId="0" applyNumberFormat="1" applyFont="1" applyFill="1" applyBorder="1" applyAlignment="1">
      <alignment horizontal="center"/>
    </xf>
    <xf numFmtId="178" fontId="14" fillId="15" borderId="76" xfId="0" applyNumberFormat="1" applyFont="1" applyFill="1" applyBorder="1"/>
    <xf numFmtId="178" fontId="14" fillId="15" borderId="47" xfId="0" applyNumberFormat="1" applyFont="1" applyFill="1" applyBorder="1"/>
    <xf numFmtId="178" fontId="14" fillId="15" borderId="42" xfId="0" applyNumberFormat="1" applyFont="1" applyFill="1" applyBorder="1"/>
    <xf numFmtId="0" fontId="14" fillId="0" borderId="108" xfId="0" applyFont="1" applyBorder="1" applyAlignment="1">
      <alignment horizontal="center"/>
    </xf>
    <xf numFmtId="0" fontId="14" fillId="0" borderId="109" xfId="0" applyFont="1" applyBorder="1" applyAlignment="1">
      <alignment horizontal="center"/>
    </xf>
    <xf numFmtId="172" fontId="14" fillId="0" borderId="110" xfId="0" applyNumberFormat="1" applyFont="1" applyBorder="1"/>
    <xf numFmtId="172" fontId="14" fillId="0" borderId="108" xfId="0" applyNumberFormat="1" applyFont="1" applyBorder="1"/>
    <xf numFmtId="172" fontId="14" fillId="0" borderId="109" xfId="0" applyNumberFormat="1" applyFont="1" applyBorder="1"/>
    <xf numFmtId="172" fontId="14" fillId="0" borderId="111" xfId="0" applyNumberFormat="1" applyFont="1" applyBorder="1"/>
    <xf numFmtId="172" fontId="14" fillId="0" borderId="112" xfId="0" applyNumberFormat="1" applyFont="1" applyBorder="1"/>
    <xf numFmtId="172" fontId="14" fillId="0" borderId="113" xfId="0" applyNumberFormat="1" applyFont="1" applyBorder="1"/>
    <xf numFmtId="178" fontId="16" fillId="0" borderId="114" xfId="0" applyNumberFormat="1" applyFont="1" applyBorder="1"/>
    <xf numFmtId="178" fontId="16" fillId="0" borderId="115" xfId="0" applyNumberFormat="1" applyFont="1" applyBorder="1"/>
    <xf numFmtId="178" fontId="16" fillId="0" borderId="116" xfId="0" applyNumberFormat="1" applyFont="1" applyBorder="1"/>
    <xf numFmtId="0" fontId="16" fillId="0" borderId="45" xfId="0" applyFont="1" applyFill="1" applyBorder="1" applyAlignment="1">
      <alignment vertical="center"/>
    </xf>
    <xf numFmtId="0" fontId="16" fillId="0" borderId="64" xfId="0" applyFont="1" applyFill="1" applyBorder="1" applyAlignment="1">
      <alignment vertical="center"/>
    </xf>
    <xf numFmtId="0" fontId="14" fillId="0" borderId="47" xfId="0" applyNumberFormat="1" applyFont="1" applyFill="1" applyBorder="1" applyAlignment="1">
      <alignment horizontal="center"/>
    </xf>
    <xf numFmtId="0" fontId="14" fillId="0" borderId="63" xfId="0" applyNumberFormat="1" applyFont="1" applyFill="1" applyBorder="1" applyAlignment="1">
      <alignment horizontal="center"/>
    </xf>
    <xf numFmtId="0" fontId="14" fillId="0" borderId="56" xfId="0" applyNumberFormat="1" applyFont="1" applyFill="1" applyBorder="1" applyAlignment="1">
      <alignment horizontal="center"/>
    </xf>
    <xf numFmtId="178" fontId="14" fillId="0" borderId="76" xfId="0" applyNumberFormat="1" applyFont="1" applyBorder="1" applyAlignment="1" applyProtection="1">
      <alignment horizontal="right"/>
    </xf>
    <xf numFmtId="178" fontId="14" fillId="0" borderId="47" xfId="0" applyNumberFormat="1" applyFont="1" applyFill="1" applyBorder="1" applyAlignment="1" applyProtection="1">
      <alignment horizontal="right"/>
    </xf>
    <xf numFmtId="178" fontId="16" fillId="0" borderId="86" xfId="0" applyNumberFormat="1" applyFont="1" applyBorder="1" applyProtection="1"/>
    <xf numFmtId="178" fontId="14" fillId="0" borderId="99" xfId="0" applyNumberFormat="1" applyFont="1" applyBorder="1" applyAlignment="1" applyProtection="1">
      <alignment horizontal="right"/>
    </xf>
    <xf numFmtId="178" fontId="14" fillId="0" borderId="70" xfId="0" applyNumberFormat="1" applyFont="1" applyBorder="1" applyAlignment="1">
      <alignment horizontal="right"/>
    </xf>
    <xf numFmtId="0" fontId="16" fillId="0" borderId="75" xfId="0" applyFont="1" applyBorder="1" applyAlignment="1" applyProtection="1">
      <alignment horizontal="center"/>
    </xf>
    <xf numFmtId="178" fontId="16" fillId="0" borderId="86" xfId="0" applyNumberFormat="1" applyFont="1" applyBorder="1" applyAlignment="1" applyProtection="1">
      <alignment horizontal="right"/>
    </xf>
    <xf numFmtId="178" fontId="14" fillId="0" borderId="76" xfId="0" applyNumberFormat="1" applyFont="1" applyBorder="1" applyProtection="1"/>
    <xf numFmtId="178" fontId="14" fillId="0" borderId="76" xfId="0" applyNumberFormat="1" applyFont="1" applyFill="1" applyBorder="1" applyAlignment="1" applyProtection="1">
      <alignment horizontal="right"/>
    </xf>
    <xf numFmtId="178" fontId="16" fillId="0" borderId="84" xfId="0" applyNumberFormat="1" applyFont="1" applyBorder="1" applyProtection="1"/>
    <xf numFmtId="0" fontId="9" fillId="0" borderId="0" xfId="5" applyFont="1"/>
    <xf numFmtId="171" fontId="14" fillId="0" borderId="76" xfId="0" applyNumberFormat="1" applyFont="1" applyFill="1" applyBorder="1" applyAlignment="1">
      <alignment horizontal="center" vertical="top" wrapText="1"/>
    </xf>
    <xf numFmtId="178" fontId="14" fillId="0" borderId="0" xfId="1" applyNumberFormat="1" applyFont="1"/>
    <xf numFmtId="0" fontId="14" fillId="14" borderId="0" xfId="0" applyFont="1" applyFill="1" applyBorder="1" applyProtection="1">
      <protection locked="0"/>
    </xf>
    <xf numFmtId="0" fontId="19" fillId="14" borderId="71" xfId="0" applyNumberFormat="1" applyFont="1" applyFill="1" applyBorder="1" applyAlignment="1" applyProtection="1">
      <alignment horizontal="center"/>
      <protection locked="0"/>
    </xf>
    <xf numFmtId="0" fontId="19" fillId="14" borderId="36" xfId="0" applyNumberFormat="1" applyFont="1" applyFill="1" applyBorder="1" applyAlignment="1" applyProtection="1">
      <alignment horizontal="center"/>
      <protection locked="0"/>
    </xf>
    <xf numFmtId="0" fontId="16" fillId="0" borderId="103" xfId="0" applyNumberFormat="1" applyFont="1" applyFill="1" applyBorder="1" applyAlignment="1">
      <alignment horizontal="center"/>
    </xf>
    <xf numFmtId="0" fontId="16" fillId="0" borderId="99" xfId="0" applyNumberFormat="1" applyFont="1" applyFill="1" applyBorder="1" applyAlignment="1">
      <alignment horizontal="center"/>
    </xf>
    <xf numFmtId="0" fontId="16" fillId="14" borderId="99" xfId="0" applyNumberFormat="1" applyFont="1" applyFill="1" applyBorder="1" applyAlignment="1" applyProtection="1">
      <alignment horizontal="center"/>
      <protection locked="0"/>
    </xf>
    <xf numFmtId="0" fontId="14" fillId="14" borderId="99" xfId="0" applyNumberFormat="1" applyFont="1" applyFill="1" applyBorder="1" applyProtection="1">
      <protection locked="0"/>
    </xf>
    <xf numFmtId="0" fontId="14" fillId="14" borderId="107" xfId="0" applyNumberFormat="1" applyFont="1" applyFill="1" applyBorder="1" applyProtection="1">
      <protection locked="0"/>
    </xf>
    <xf numFmtId="0" fontId="14" fillId="0" borderId="99" xfId="0" applyNumberFormat="1" applyFont="1" applyFill="1" applyBorder="1"/>
    <xf numFmtId="0" fontId="14" fillId="14" borderId="93" xfId="0" applyNumberFormat="1" applyFont="1" applyFill="1" applyBorder="1" applyProtection="1">
      <protection locked="0"/>
    </xf>
    <xf numFmtId="0" fontId="11" fillId="0" borderId="36" xfId="0" applyFont="1" applyFill="1" applyBorder="1" applyAlignment="1">
      <alignment horizontal="left"/>
    </xf>
    <xf numFmtId="49" fontId="16" fillId="0" borderId="43" xfId="0" applyNumberFormat="1" applyFont="1" applyFill="1" applyBorder="1" applyAlignment="1">
      <alignment horizontal="center" vertical="center" wrapText="1"/>
    </xf>
    <xf numFmtId="0" fontId="16" fillId="0" borderId="36" xfId="0" applyFont="1" applyFill="1" applyBorder="1" applyAlignment="1">
      <alignment horizontal="left" vertical="center"/>
    </xf>
    <xf numFmtId="0" fontId="16" fillId="0" borderId="43" xfId="0" applyNumberFormat="1" applyFont="1" applyFill="1" applyBorder="1"/>
    <xf numFmtId="0" fontId="19" fillId="0" borderId="42" xfId="0" applyNumberFormat="1" applyFont="1" applyFill="1" applyBorder="1" applyAlignment="1">
      <alignment horizontal="left" indent="1"/>
    </xf>
    <xf numFmtId="0" fontId="16" fillId="14" borderId="42" xfId="0" applyNumberFormat="1" applyFont="1" applyFill="1" applyBorder="1" applyProtection="1">
      <protection locked="0"/>
    </xf>
    <xf numFmtId="0" fontId="14" fillId="14" borderId="42" xfId="0" applyNumberFormat="1" applyFont="1" applyFill="1" applyBorder="1" applyAlignment="1" applyProtection="1">
      <alignment horizontal="left" indent="1"/>
      <protection locked="0"/>
    </xf>
    <xf numFmtId="0" fontId="16" fillId="14" borderId="71" xfId="0" applyNumberFormat="1" applyFont="1" applyFill="1" applyBorder="1" applyAlignment="1" applyProtection="1">
      <alignment horizontal="left" indent="1"/>
      <protection locked="0"/>
    </xf>
    <xf numFmtId="0" fontId="16" fillId="0" borderId="42" xfId="0" applyNumberFormat="1" applyFont="1" applyBorder="1"/>
    <xf numFmtId="0" fontId="16" fillId="0" borderId="42" xfId="0" applyNumberFormat="1" applyFont="1" applyFill="1" applyBorder="1" applyAlignment="1">
      <alignment horizontal="left" indent="1"/>
    </xf>
    <xf numFmtId="0" fontId="17" fillId="14" borderId="42" xfId="0" applyNumberFormat="1" applyFont="1" applyFill="1" applyBorder="1" applyProtection="1">
      <protection locked="0"/>
    </xf>
    <xf numFmtId="0" fontId="19" fillId="14" borderId="42" xfId="0" applyNumberFormat="1" applyFont="1" applyFill="1" applyBorder="1" applyAlignment="1" applyProtection="1">
      <alignment horizontal="left" indent="1"/>
      <protection locked="0"/>
    </xf>
    <xf numFmtId="0" fontId="16" fillId="14" borderId="42" xfId="0" applyNumberFormat="1" applyFont="1" applyFill="1" applyBorder="1" applyAlignment="1" applyProtection="1">
      <alignment horizontal="left" indent="1"/>
      <protection locked="0"/>
    </xf>
    <xf numFmtId="0" fontId="14" fillId="14" borderId="36" xfId="0" applyNumberFormat="1" applyFont="1" applyFill="1" applyBorder="1" applyAlignment="1" applyProtection="1">
      <alignment horizontal="left" indent="1"/>
      <protection locked="0"/>
    </xf>
    <xf numFmtId="0" fontId="20" fillId="0" borderId="42" xfId="0" applyNumberFormat="1" applyFont="1" applyBorder="1"/>
    <xf numFmtId="0" fontId="19" fillId="0" borderId="42" xfId="0" applyNumberFormat="1" applyFont="1" applyBorder="1"/>
    <xf numFmtId="49" fontId="14" fillId="0" borderId="42" xfId="0" applyNumberFormat="1" applyFont="1" applyFill="1" applyBorder="1" applyAlignment="1">
      <alignment horizontal="center" vertical="center" wrapText="1"/>
    </xf>
    <xf numFmtId="0" fontId="16" fillId="0" borderId="47" xfId="0" applyFont="1" applyFill="1" applyBorder="1" applyAlignment="1" applyProtection="1">
      <alignment horizontal="left" indent="1"/>
    </xf>
    <xf numFmtId="0" fontId="16" fillId="0" borderId="3" xfId="0" applyNumberFormat="1" applyFont="1" applyFill="1" applyBorder="1" applyAlignment="1">
      <alignment wrapText="1"/>
    </xf>
    <xf numFmtId="0" fontId="16" fillId="0" borderId="3" xfId="0" applyFont="1" applyFill="1" applyBorder="1" applyAlignment="1">
      <alignment horizontal="left" vertical="center"/>
    </xf>
    <xf numFmtId="0" fontId="16" fillId="0" borderId="47" xfId="0" applyFont="1" applyFill="1" applyBorder="1" applyAlignment="1">
      <alignment vertical="center"/>
    </xf>
    <xf numFmtId="0" fontId="16" fillId="0" borderId="6" xfId="0" applyFont="1" applyFill="1" applyBorder="1" applyAlignment="1">
      <alignment horizontal="left" vertical="center"/>
    </xf>
    <xf numFmtId="0" fontId="14" fillId="0" borderId="6" xfId="0" applyNumberFormat="1" applyFont="1" applyFill="1" applyBorder="1" applyAlignment="1">
      <alignment horizontal="center"/>
    </xf>
    <xf numFmtId="178" fontId="16" fillId="0" borderId="6" xfId="0" applyNumberFormat="1" applyFont="1" applyFill="1" applyBorder="1"/>
    <xf numFmtId="178" fontId="16" fillId="0" borderId="102" xfId="0" applyNumberFormat="1" applyFont="1" applyFill="1" applyBorder="1"/>
    <xf numFmtId="178" fontId="16" fillId="0" borderId="67" xfId="0" applyNumberFormat="1" applyFont="1" applyFill="1" applyBorder="1"/>
    <xf numFmtId="178" fontId="16" fillId="0" borderId="100" xfId="0" applyNumberFormat="1" applyFont="1" applyFill="1" applyBorder="1"/>
    <xf numFmtId="0" fontId="16" fillId="0" borderId="88" xfId="0" applyFont="1" applyFill="1" applyBorder="1" applyAlignment="1">
      <alignment horizontal="center" vertical="center" wrapText="1"/>
    </xf>
    <xf numFmtId="178" fontId="16" fillId="0" borderId="87" xfId="0" applyNumberFormat="1" applyFont="1" applyFill="1" applyBorder="1"/>
    <xf numFmtId="178" fontId="16" fillId="0" borderId="1" xfId="0" applyNumberFormat="1" applyFont="1" applyFill="1" applyBorder="1"/>
    <xf numFmtId="178" fontId="16" fillId="0" borderId="88" xfId="0" applyNumberFormat="1" applyFont="1" applyFill="1" applyBorder="1"/>
    <xf numFmtId="178" fontId="16" fillId="0" borderId="11" xfId="0" applyNumberFormat="1" applyFont="1" applyFill="1" applyBorder="1"/>
    <xf numFmtId="0" fontId="12" fillId="14" borderId="2" xfId="0" applyFont="1" applyFill="1" applyBorder="1" applyProtection="1">
      <protection locked="0"/>
    </xf>
    <xf numFmtId="0" fontId="13" fillId="14" borderId="0" xfId="0" applyFont="1" applyFill="1" applyAlignment="1" applyProtection="1">
      <alignment horizontal="left" indent="1"/>
      <protection locked="0"/>
    </xf>
    <xf numFmtId="0" fontId="45" fillId="16" borderId="0" xfId="0" applyFont="1" applyFill="1" applyProtection="1"/>
    <xf numFmtId="0" fontId="46" fillId="16" borderId="0" xfId="0" applyFont="1" applyFill="1" applyAlignment="1" applyProtection="1">
      <alignment horizontal="right"/>
    </xf>
    <xf numFmtId="0" fontId="38" fillId="16" borderId="0" xfId="0" applyFont="1" applyFill="1" applyProtection="1"/>
    <xf numFmtId="0" fontId="47" fillId="16" borderId="0" xfId="0" applyFont="1" applyFill="1" applyProtection="1"/>
    <xf numFmtId="0" fontId="48" fillId="16" borderId="0" xfId="0" applyFont="1" applyFill="1" applyAlignment="1" applyProtection="1">
      <alignment horizontal="right"/>
    </xf>
    <xf numFmtId="49" fontId="47" fillId="16" borderId="0" xfId="0" applyNumberFormat="1" applyFont="1" applyFill="1" applyAlignment="1" applyProtection="1">
      <alignment horizontal="right"/>
    </xf>
    <xf numFmtId="49" fontId="48" fillId="16" borderId="0" xfId="0" applyNumberFormat="1" applyFont="1" applyFill="1" applyAlignment="1" applyProtection="1">
      <alignment horizontal="right"/>
    </xf>
    <xf numFmtId="0" fontId="47" fillId="16" borderId="0" xfId="0" applyFont="1" applyFill="1" applyAlignment="1" applyProtection="1">
      <alignment horizontal="right"/>
    </xf>
    <xf numFmtId="0" fontId="13" fillId="16" borderId="0" xfId="0" applyFont="1" applyFill="1" applyProtection="1">
      <protection locked="0"/>
    </xf>
    <xf numFmtId="0" fontId="9" fillId="0" borderId="10" xfId="0" applyFont="1" applyBorder="1" applyProtection="1">
      <protection hidden="1"/>
    </xf>
    <xf numFmtId="0" fontId="9" fillId="0" borderId="0" xfId="0" applyFont="1" applyProtection="1">
      <protection hidden="1"/>
    </xf>
    <xf numFmtId="0" fontId="9" fillId="0" borderId="0" xfId="0" applyFont="1" applyBorder="1" applyProtection="1">
      <protection hidden="1"/>
    </xf>
    <xf numFmtId="0" fontId="9" fillId="0" borderId="8" xfId="0" applyFont="1" applyBorder="1" applyProtection="1">
      <protection hidden="1"/>
    </xf>
    <xf numFmtId="0" fontId="34" fillId="0" borderId="0" xfId="0" applyFont="1" applyBorder="1" applyProtection="1">
      <protection hidden="1"/>
    </xf>
    <xf numFmtId="0" fontId="33" fillId="0" borderId="8" xfId="0" applyFont="1" applyBorder="1" applyProtection="1">
      <protection hidden="1"/>
    </xf>
    <xf numFmtId="0" fontId="11" fillId="0" borderId="117" xfId="0" applyFont="1" applyBorder="1" applyAlignment="1" applyProtection="1">
      <alignment horizontal="left" vertical="top" wrapText="1"/>
    </xf>
    <xf numFmtId="0" fontId="11" fillId="14" borderId="118" xfId="0" applyFont="1" applyFill="1" applyBorder="1" applyAlignment="1" applyProtection="1">
      <alignment horizontal="justify" vertical="center" wrapText="1"/>
      <protection locked="0"/>
    </xf>
    <xf numFmtId="0" fontId="9" fillId="0" borderId="0" xfId="0" applyFont="1" applyBorder="1" applyAlignment="1" applyProtection="1">
      <alignment horizontal="left" vertical="center"/>
    </xf>
    <xf numFmtId="0" fontId="9" fillId="0" borderId="0" xfId="0" applyFont="1" applyBorder="1" applyAlignment="1" applyProtection="1">
      <alignment horizontal="center" vertical="center" wrapText="1"/>
    </xf>
    <xf numFmtId="0" fontId="11" fillId="0" borderId="4" xfId="0" applyFont="1" applyFill="1" applyBorder="1" applyAlignment="1" applyProtection="1">
      <alignment horizontal="left" vertical="top" wrapText="1"/>
    </xf>
    <xf numFmtId="0" fontId="11" fillId="0" borderId="10" xfId="0" applyFont="1" applyFill="1" applyBorder="1" applyAlignment="1" applyProtection="1">
      <alignment horizontal="justify" vertical="center" wrapText="1"/>
      <protection locked="0"/>
    </xf>
    <xf numFmtId="0" fontId="11" fillId="0" borderId="12" xfId="0" applyFont="1" applyBorder="1" applyAlignment="1">
      <alignment vertical="center"/>
    </xf>
    <xf numFmtId="0" fontId="9" fillId="14" borderId="7" xfId="0" applyFont="1" applyFill="1" applyBorder="1" applyAlignment="1" applyProtection="1">
      <alignment vertical="center"/>
      <protection locked="0"/>
    </xf>
    <xf numFmtId="0" fontId="19" fillId="0" borderId="0" xfId="3" applyFont="1" applyAlignment="1" applyProtection="1"/>
    <xf numFmtId="0" fontId="9" fillId="0" borderId="0" xfId="0" applyFont="1" applyBorder="1" applyAlignment="1">
      <alignment vertical="center"/>
    </xf>
    <xf numFmtId="0" fontId="9" fillId="0" borderId="4" xfId="0" applyFont="1" applyBorder="1" applyAlignment="1">
      <alignment vertical="center"/>
    </xf>
    <xf numFmtId="0" fontId="9" fillId="0" borderId="10" xfId="0" applyFont="1" applyBorder="1" applyAlignment="1">
      <alignment vertical="center"/>
    </xf>
    <xf numFmtId="0" fontId="11" fillId="0" borderId="3" xfId="0" applyFont="1" applyFill="1" applyBorder="1" applyAlignment="1" applyProtection="1">
      <alignment horizontal="justify" vertical="center" wrapText="1"/>
    </xf>
    <xf numFmtId="0" fontId="11" fillId="0" borderId="8" xfId="0" applyFont="1" applyFill="1" applyBorder="1" applyAlignment="1" applyProtection="1">
      <alignment horizontal="justify" vertical="center" wrapText="1"/>
    </xf>
    <xf numFmtId="0" fontId="11" fillId="0" borderId="0" xfId="0" applyFont="1" applyBorder="1" applyAlignment="1" applyProtection="1">
      <alignment horizontal="justify" vertical="top" wrapText="1"/>
    </xf>
    <xf numFmtId="0" fontId="11" fillId="0" borderId="4" xfId="0" applyFont="1" applyFill="1" applyBorder="1" applyAlignment="1" applyProtection="1">
      <alignment horizontal="justify" vertical="center" wrapText="1"/>
    </xf>
    <xf numFmtId="0" fontId="11" fillId="0" borderId="10" xfId="0" applyFont="1" applyFill="1" applyBorder="1" applyAlignment="1" applyProtection="1">
      <alignment horizontal="justify" vertical="center" wrapText="1"/>
    </xf>
    <xf numFmtId="0" fontId="11" fillId="0" borderId="3" xfId="0" applyFont="1" applyFill="1" applyBorder="1" applyAlignment="1" applyProtection="1">
      <alignment horizontal="left" vertical="top" wrapText="1"/>
    </xf>
    <xf numFmtId="0" fontId="9" fillId="0" borderId="0" xfId="3" applyFont="1" applyBorder="1" applyAlignment="1" applyProtection="1"/>
    <xf numFmtId="0" fontId="11" fillId="0" borderId="0" xfId="0" applyFont="1" applyFill="1" applyBorder="1" applyAlignment="1" applyProtection="1">
      <alignment horizontal="left" vertical="top" wrapText="1"/>
      <protection locked="0"/>
    </xf>
    <xf numFmtId="0" fontId="11" fillId="0" borderId="4" xfId="0" applyFont="1" applyFill="1" applyBorder="1" applyAlignment="1" applyProtection="1">
      <alignment horizontal="justify" vertical="top" wrapText="1"/>
    </xf>
    <xf numFmtId="0" fontId="11" fillId="0" borderId="10" xfId="0" applyFont="1" applyBorder="1" applyAlignment="1" applyProtection="1">
      <alignment horizontal="justify" vertical="top" wrapText="1"/>
    </xf>
    <xf numFmtId="0" fontId="11" fillId="0" borderId="0" xfId="0" applyFont="1" applyFill="1" applyBorder="1" applyAlignment="1" applyProtection="1">
      <alignment horizontal="justify" vertical="top" wrapText="1"/>
    </xf>
    <xf numFmtId="0" fontId="9" fillId="0" borderId="4" xfId="0" applyFont="1" applyBorder="1" applyAlignment="1" applyProtection="1">
      <alignment horizontal="justify" vertical="top" wrapText="1"/>
    </xf>
    <xf numFmtId="0" fontId="9" fillId="0" borderId="10" xfId="0" applyFont="1" applyBorder="1" applyAlignment="1" applyProtection="1">
      <alignment horizontal="justify" vertical="top" wrapText="1"/>
    </xf>
    <xf numFmtId="0" fontId="9" fillId="0" borderId="0" xfId="0" applyFont="1" applyAlignment="1" applyProtection="1">
      <alignment vertical="center"/>
      <protection hidden="1"/>
    </xf>
    <xf numFmtId="0" fontId="11" fillId="0" borderId="117" xfId="0" applyFont="1" applyBorder="1" applyAlignment="1" applyProtection="1">
      <alignment horizontal="justify" wrapText="1"/>
    </xf>
    <xf numFmtId="0" fontId="9" fillId="0" borderId="118" xfId="0" applyFont="1" applyBorder="1" applyAlignment="1" applyProtection="1">
      <alignment horizontal="justify" wrapText="1"/>
    </xf>
    <xf numFmtId="0" fontId="9" fillId="0" borderId="17" xfId="0" applyFont="1" applyBorder="1" applyAlignment="1" applyProtection="1">
      <alignment horizontal="justify" wrapText="1"/>
    </xf>
    <xf numFmtId="0" fontId="9" fillId="14" borderId="34" xfId="0" applyFont="1" applyFill="1" applyBorder="1" applyAlignment="1" applyProtection="1">
      <alignment horizontal="justify" wrapText="1"/>
      <protection locked="0"/>
    </xf>
    <xf numFmtId="0" fontId="9" fillId="0" borderId="12" xfId="0" applyFont="1" applyBorder="1" applyAlignment="1" applyProtection="1">
      <alignment horizontal="justify" wrapText="1"/>
    </xf>
    <xf numFmtId="185" fontId="9" fillId="14" borderId="7" xfId="0" applyNumberFormat="1" applyFont="1" applyFill="1" applyBorder="1" applyAlignment="1" applyProtection="1">
      <alignment horizontal="justify" wrapText="1"/>
      <protection locked="0"/>
    </xf>
    <xf numFmtId="0" fontId="9" fillId="0" borderId="4" xfId="0" applyFont="1" applyFill="1" applyBorder="1" applyAlignment="1" applyProtection="1">
      <alignment horizontal="justify" wrapText="1"/>
    </xf>
    <xf numFmtId="185" fontId="9" fillId="0" borderId="10" xfId="0" applyNumberFormat="1" applyFont="1" applyFill="1" applyBorder="1" applyAlignment="1" applyProtection="1">
      <alignment horizontal="justify" wrapText="1"/>
      <protection locked="0"/>
    </xf>
    <xf numFmtId="0" fontId="11" fillId="0" borderId="17" xfId="0" applyFont="1" applyBorder="1" applyAlignment="1" applyProtection="1">
      <alignment horizontal="justify" wrapText="1"/>
    </xf>
    <xf numFmtId="0" fontId="9" fillId="0" borderId="34" xfId="0" applyFont="1" applyBorder="1" applyAlignment="1" applyProtection="1">
      <alignment horizontal="justify" wrapText="1"/>
    </xf>
    <xf numFmtId="0" fontId="9" fillId="0" borderId="34" xfId="0" applyFont="1" applyFill="1" applyBorder="1" applyAlignment="1" applyProtection="1">
      <alignment horizontal="justify" wrapText="1"/>
    </xf>
    <xf numFmtId="0" fontId="9" fillId="14" borderId="7" xfId="0" applyFont="1" applyFill="1" applyBorder="1" applyAlignment="1" applyProtection="1">
      <alignment horizontal="justify" wrapText="1"/>
      <protection locked="0"/>
    </xf>
    <xf numFmtId="0" fontId="9" fillId="0" borderId="10" xfId="0" applyFont="1" applyFill="1" applyBorder="1" applyAlignment="1" applyProtection="1">
      <alignment horizontal="justify" wrapText="1"/>
      <protection locked="0"/>
    </xf>
    <xf numFmtId="0" fontId="9" fillId="14" borderId="34" xfId="0" applyNumberFormat="1" applyFont="1" applyFill="1" applyBorder="1" applyAlignment="1" applyProtection="1">
      <alignment horizontal="justify" wrapText="1"/>
      <protection locked="0"/>
    </xf>
    <xf numFmtId="0" fontId="9" fillId="0" borderId="3" xfId="0" applyFont="1" applyBorder="1" applyAlignment="1" applyProtection="1">
      <alignment horizontal="justify" wrapText="1"/>
    </xf>
    <xf numFmtId="0" fontId="9" fillId="14" borderId="8" xfId="0" applyFont="1" applyFill="1" applyBorder="1" applyAlignment="1" applyProtection="1">
      <alignment horizontal="justify" wrapText="1"/>
      <protection locked="0"/>
    </xf>
    <xf numFmtId="0" fontId="11" fillId="0" borderId="17" xfId="0" applyFont="1" applyBorder="1" applyAlignment="1" applyProtection="1">
      <alignment horizontal="left"/>
    </xf>
    <xf numFmtId="0" fontId="9" fillId="0" borderId="3" xfId="0" applyFont="1" applyFill="1" applyBorder="1" applyAlignment="1" applyProtection="1">
      <alignment horizontal="justify" wrapText="1"/>
    </xf>
    <xf numFmtId="0" fontId="9" fillId="0" borderId="8" xfId="0" applyFont="1" applyFill="1" applyBorder="1" applyAlignment="1" applyProtection="1">
      <alignment horizontal="justify" wrapText="1"/>
      <protection locked="0"/>
    </xf>
    <xf numFmtId="0" fontId="9" fillId="0" borderId="0" xfId="3" applyFont="1" applyAlignment="1" applyProtection="1">
      <protection hidden="1"/>
    </xf>
    <xf numFmtId="0" fontId="39" fillId="0" borderId="0" xfId="3" applyFont="1" applyAlignment="1" applyProtection="1">
      <protection hidden="1"/>
    </xf>
    <xf numFmtId="0" fontId="39" fillId="0" borderId="0" xfId="3" applyFont="1" applyAlignment="1" applyProtection="1">
      <protection locked="0" hidden="1"/>
    </xf>
    <xf numFmtId="0" fontId="9" fillId="0" borderId="0" xfId="0" applyFont="1" applyProtection="1">
      <protection locked="0" hidden="1"/>
    </xf>
    <xf numFmtId="0" fontId="11" fillId="0" borderId="0" xfId="0" applyNumberFormat="1" applyFont="1" applyFill="1" applyBorder="1" applyAlignment="1">
      <alignment horizontal="left"/>
    </xf>
    <xf numFmtId="0" fontId="16" fillId="0" borderId="0" xfId="0" applyFont="1" applyFill="1" applyBorder="1" applyAlignment="1">
      <alignment horizontal="center" vertical="center"/>
    </xf>
    <xf numFmtId="0" fontId="16" fillId="0" borderId="0" xfId="0" applyNumberFormat="1" applyFont="1" applyFill="1" applyBorder="1" applyAlignment="1">
      <alignment horizontal="center" vertical="center"/>
    </xf>
    <xf numFmtId="0" fontId="16" fillId="0" borderId="0" xfId="0" applyFont="1" applyFill="1" applyBorder="1" applyAlignment="1">
      <alignment horizontal="center" vertical="top" wrapText="1"/>
    </xf>
    <xf numFmtId="0" fontId="14" fillId="0" borderId="0" xfId="0" applyNumberFormat="1" applyFont="1" applyFill="1" applyBorder="1" applyAlignment="1">
      <alignment horizontal="left" indent="1"/>
    </xf>
    <xf numFmtId="0" fontId="14" fillId="0" borderId="0" xfId="0" applyNumberFormat="1" applyFont="1" applyFill="1" applyBorder="1" applyAlignment="1">
      <alignment horizontal="center"/>
    </xf>
    <xf numFmtId="177" fontId="14" fillId="0" borderId="0" xfId="1" applyNumberFormat="1" applyFont="1" applyFill="1" applyBorder="1"/>
    <xf numFmtId="173" fontId="16" fillId="0" borderId="0" xfId="0" applyNumberFormat="1" applyFont="1" applyFill="1" applyBorder="1"/>
    <xf numFmtId="0" fontId="14" fillId="0" borderId="0" xfId="0" quotePrefix="1" applyNumberFormat="1" applyFont="1" applyFill="1" applyBorder="1" applyAlignment="1">
      <alignment horizontal="center"/>
    </xf>
    <xf numFmtId="0" fontId="16" fillId="0" borderId="0" xfId="0" applyNumberFormat="1" applyFont="1" applyFill="1" applyBorder="1"/>
    <xf numFmtId="0" fontId="14" fillId="0" borderId="0" xfId="0" applyNumberFormat="1" applyFont="1" applyFill="1" applyBorder="1"/>
    <xf numFmtId="0" fontId="18" fillId="0" borderId="0" xfId="0" applyNumberFormat="1" applyFont="1" applyFill="1" applyBorder="1"/>
    <xf numFmtId="179" fontId="14" fillId="0" borderId="0" xfId="0" applyNumberFormat="1" applyFont="1" applyFill="1" applyBorder="1" applyProtection="1">
      <protection locked="0"/>
    </xf>
    <xf numFmtId="172" fontId="14" fillId="0" borderId="0" xfId="0" applyNumberFormat="1" applyFont="1" applyFill="1" applyBorder="1" applyProtection="1">
      <protection locked="0"/>
    </xf>
    <xf numFmtId="0" fontId="14" fillId="0" borderId="0" xfId="0" applyNumberFormat="1" applyFont="1" applyFill="1" applyBorder="1" applyAlignment="1" applyProtection="1">
      <alignment horizontal="center"/>
      <protection locked="0"/>
    </xf>
    <xf numFmtId="0" fontId="14" fillId="0" borderId="0" xfId="1" applyNumberFormat="1" applyFont="1" applyFill="1" applyBorder="1" applyAlignment="1" applyProtection="1">
      <alignment horizontal="center"/>
      <protection locked="0"/>
    </xf>
    <xf numFmtId="177" fontId="14" fillId="0" borderId="0" xfId="1" applyNumberFormat="1" applyFont="1" applyFill="1" applyBorder="1" applyProtection="1">
      <protection locked="0"/>
    </xf>
    <xf numFmtId="177" fontId="14" fillId="0" borderId="0" xfId="0" applyNumberFormat="1" applyFont="1" applyFill="1" applyBorder="1" applyProtection="1">
      <protection locked="0"/>
    </xf>
    <xf numFmtId="0" fontId="16" fillId="0" borderId="0" xfId="0" applyNumberFormat="1" applyFont="1" applyFill="1" applyBorder="1" applyAlignment="1">
      <alignment horizontal="center"/>
    </xf>
    <xf numFmtId="177" fontId="16" fillId="0" borderId="0" xfId="0" applyNumberFormat="1" applyFont="1" applyFill="1" applyBorder="1" applyProtection="1">
      <protection locked="0"/>
    </xf>
    <xf numFmtId="181" fontId="14" fillId="0" borderId="0" xfId="1" applyNumberFormat="1" applyFont="1" applyFill="1" applyBorder="1" applyProtection="1">
      <protection locked="0"/>
    </xf>
    <xf numFmtId="174" fontId="14" fillId="0" borderId="0" xfId="6" applyNumberFormat="1" applyFont="1" applyFill="1" applyBorder="1" applyAlignment="1" applyProtection="1">
      <alignment horizontal="center"/>
      <protection locked="0"/>
    </xf>
    <xf numFmtId="178" fontId="14" fillId="0" borderId="0" xfId="1" applyNumberFormat="1" applyFont="1" applyFill="1" applyBorder="1" applyProtection="1">
      <protection locked="0"/>
    </xf>
    <xf numFmtId="0" fontId="20" fillId="0" borderId="0" xfId="0" applyNumberFormat="1" applyFont="1" applyFill="1" applyBorder="1" applyProtection="1"/>
    <xf numFmtId="0" fontId="19" fillId="0" borderId="0" xfId="0" quotePrefix="1" applyNumberFormat="1" applyFont="1" applyFill="1" applyBorder="1" applyProtection="1"/>
    <xf numFmtId="0" fontId="7" fillId="9" borderId="0" xfId="0" applyFont="1" applyFill="1" applyAlignment="1">
      <alignment horizontal="left" indent="1"/>
    </xf>
    <xf numFmtId="0" fontId="4" fillId="0" borderId="0" xfId="0" applyFont="1" applyAlignment="1">
      <alignment horizontal="left" indent="1"/>
    </xf>
    <xf numFmtId="0" fontId="16" fillId="0" borderId="59" xfId="0" applyFont="1" applyFill="1" applyBorder="1" applyAlignment="1" applyProtection="1">
      <alignment vertical="top"/>
      <protection locked="0"/>
    </xf>
    <xf numFmtId="0" fontId="14" fillId="0" borderId="59" xfId="0" applyFont="1" applyFill="1" applyBorder="1" applyAlignment="1" applyProtection="1">
      <alignment vertical="top" wrapText="1"/>
      <protection locked="0"/>
    </xf>
    <xf numFmtId="0" fontId="14" fillId="0" borderId="105" xfId="0" applyFont="1" applyFill="1" applyBorder="1" applyAlignment="1" applyProtection="1">
      <alignment vertical="top" wrapText="1"/>
      <protection locked="0"/>
    </xf>
    <xf numFmtId="0" fontId="16" fillId="0" borderId="62" xfId="0" applyFont="1" applyFill="1" applyBorder="1" applyAlignment="1" applyProtection="1">
      <alignment vertical="top"/>
      <protection locked="0"/>
    </xf>
    <xf numFmtId="0" fontId="16" fillId="0" borderId="105" xfId="0" applyFont="1" applyFill="1" applyBorder="1" applyAlignment="1" applyProtection="1">
      <alignment horizontal="center" vertical="top" wrapText="1"/>
      <protection locked="0"/>
    </xf>
    <xf numFmtId="0" fontId="47" fillId="16" borderId="0" xfId="0" applyFont="1" applyFill="1" applyProtection="1">
      <protection locked="0"/>
    </xf>
    <xf numFmtId="0" fontId="47" fillId="16" borderId="3" xfId="0" applyFont="1" applyFill="1" applyBorder="1" applyAlignment="1" applyProtection="1">
      <alignment horizontal="left" indent="1"/>
      <protection locked="0"/>
    </xf>
    <xf numFmtId="0" fontId="19" fillId="14" borderId="73" xfId="0" applyNumberFormat="1" applyFont="1" applyFill="1" applyBorder="1" applyAlignment="1" applyProtection="1">
      <alignment horizontal="center"/>
      <protection locked="0"/>
    </xf>
    <xf numFmtId="0" fontId="19" fillId="14" borderId="9" xfId="0" applyNumberFormat="1" applyFont="1" applyFill="1" applyBorder="1" applyAlignment="1" applyProtection="1">
      <alignment horizontal="center"/>
      <protection locked="0"/>
    </xf>
    <xf numFmtId="0" fontId="19" fillId="0" borderId="75" xfId="0" applyNumberFormat="1" applyFont="1" applyFill="1" applyBorder="1" applyAlignment="1">
      <alignment horizontal="center"/>
    </xf>
    <xf numFmtId="0" fontId="19" fillId="0" borderId="76" xfId="0" applyNumberFormat="1" applyFont="1" applyFill="1" applyBorder="1" applyAlignment="1" applyProtection="1">
      <alignment horizontal="center"/>
    </xf>
    <xf numFmtId="0" fontId="19" fillId="0" borderId="76" xfId="0" applyNumberFormat="1" applyFont="1" applyFill="1" applyBorder="1" applyAlignment="1">
      <alignment horizontal="center"/>
    </xf>
    <xf numFmtId="0" fontId="19" fillId="14" borderId="76" xfId="0" applyNumberFormat="1" applyFont="1" applyFill="1" applyBorder="1" applyAlignment="1" applyProtection="1">
      <alignment horizontal="center"/>
      <protection locked="0"/>
    </xf>
    <xf numFmtId="0" fontId="16" fillId="0" borderId="101" xfId="0" applyFont="1" applyFill="1" applyBorder="1" applyAlignment="1">
      <alignment horizontal="center" vertical="top" wrapText="1"/>
    </xf>
    <xf numFmtId="0" fontId="19" fillId="14" borderId="97" xfId="0" applyNumberFormat="1" applyFont="1" applyFill="1" applyBorder="1" applyAlignment="1" applyProtection="1">
      <alignment horizontal="center"/>
      <protection locked="0"/>
    </xf>
    <xf numFmtId="0" fontId="14" fillId="0" borderId="76" xfId="0" applyNumberFormat="1" applyFont="1" applyFill="1" applyBorder="1"/>
    <xf numFmtId="0" fontId="19" fillId="14" borderId="77" xfId="0" applyNumberFormat="1" applyFont="1" applyFill="1" applyBorder="1" applyAlignment="1" applyProtection="1">
      <alignment horizontal="center"/>
      <protection locked="0"/>
    </xf>
    <xf numFmtId="0" fontId="9" fillId="0" borderId="9" xfId="0" applyFont="1" applyFill="1" applyBorder="1" applyAlignment="1">
      <alignment horizontal="center"/>
    </xf>
    <xf numFmtId="0" fontId="14" fillId="0" borderId="98" xfId="0" applyNumberFormat="1" applyFont="1" applyFill="1" applyBorder="1" applyAlignment="1" applyProtection="1">
      <alignment horizontal="center" vertical="top" wrapText="1"/>
    </xf>
    <xf numFmtId="0" fontId="14" fillId="0" borderId="72" xfId="0" applyNumberFormat="1" applyFont="1" applyFill="1" applyBorder="1" applyAlignment="1" applyProtection="1">
      <alignment horizontal="left" vertical="top" wrapText="1"/>
    </xf>
    <xf numFmtId="0" fontId="16" fillId="0" borderId="3" xfId="0" applyNumberFormat="1" applyFont="1" applyFill="1" applyBorder="1" applyAlignment="1" applyProtection="1">
      <alignment horizontal="left" vertical="top" wrapText="1" indent="1"/>
      <protection locked="0"/>
    </xf>
    <xf numFmtId="0" fontId="14" fillId="0" borderId="1" xfId="0" applyNumberFormat="1" applyFont="1" applyFill="1" applyBorder="1" applyAlignment="1" applyProtection="1">
      <alignment horizontal="center" vertical="top" wrapText="1"/>
      <protection locked="0"/>
    </xf>
    <xf numFmtId="0" fontId="14" fillId="0" borderId="8" xfId="0" applyNumberFormat="1" applyFont="1" applyFill="1" applyBorder="1" applyAlignment="1" applyProtection="1">
      <alignment horizontal="left" vertical="top" wrapText="1"/>
      <protection locked="0"/>
    </xf>
    <xf numFmtId="168" fontId="14" fillId="0" borderId="76" xfId="1" applyNumberFormat="1" applyFont="1" applyFill="1" applyBorder="1" applyAlignment="1" applyProtection="1">
      <alignment horizontal="left" vertical="top" wrapText="1"/>
    </xf>
    <xf numFmtId="168" fontId="14" fillId="0" borderId="3" xfId="1" applyNumberFormat="1" applyFont="1" applyFill="1" applyBorder="1" applyAlignment="1" applyProtection="1">
      <alignment horizontal="center" vertical="top" wrapText="1"/>
    </xf>
    <xf numFmtId="168" fontId="14" fillId="0" borderId="42" xfId="1" applyNumberFormat="1" applyFont="1" applyFill="1" applyBorder="1" applyAlignment="1" applyProtection="1">
      <alignment horizontal="center" vertical="top" wrapText="1"/>
    </xf>
    <xf numFmtId="168" fontId="14" fillId="0" borderId="67" xfId="1" applyNumberFormat="1" applyFont="1" applyFill="1" applyBorder="1" applyAlignment="1" applyProtection="1">
      <alignment horizontal="center" vertical="top" wrapText="1"/>
    </xf>
    <xf numFmtId="168" fontId="14" fillId="0" borderId="1" xfId="1" applyNumberFormat="1" applyFont="1" applyFill="1" applyBorder="1" applyAlignment="1" applyProtection="1">
      <alignment horizontal="center" vertical="top" wrapText="1"/>
    </xf>
    <xf numFmtId="168" fontId="14" fillId="0" borderId="0" xfId="1" applyNumberFormat="1" applyFont="1" applyFill="1" applyBorder="1" applyAlignment="1" applyProtection="1">
      <alignment horizontal="center" vertical="top" wrapText="1"/>
    </xf>
    <xf numFmtId="168" fontId="14" fillId="0" borderId="8" xfId="1" applyNumberFormat="1" applyFont="1" applyFill="1" applyBorder="1" applyAlignment="1" applyProtection="1">
      <alignment horizontal="center" vertical="top" wrapText="1"/>
    </xf>
    <xf numFmtId="0" fontId="16" fillId="0" borderId="68" xfId="0" applyNumberFormat="1" applyFont="1" applyFill="1" applyBorder="1" applyAlignment="1" applyProtection="1">
      <alignment horizontal="left" vertical="top" wrapText="1" indent="1"/>
      <protection locked="0"/>
    </xf>
    <xf numFmtId="0" fontId="14" fillId="0" borderId="98" xfId="0" applyNumberFormat="1" applyFont="1" applyFill="1" applyBorder="1" applyAlignment="1" applyProtection="1">
      <alignment horizontal="center" vertical="top" wrapText="1"/>
      <protection locked="0"/>
    </xf>
    <xf numFmtId="0" fontId="14" fillId="0" borderId="72" xfId="0" applyNumberFormat="1" applyFont="1" applyFill="1" applyBorder="1" applyAlignment="1" applyProtection="1">
      <alignment horizontal="left" vertical="top" wrapText="1"/>
      <protection locked="0"/>
    </xf>
    <xf numFmtId="168" fontId="14" fillId="0" borderId="87" xfId="1" applyNumberFormat="1" applyFont="1" applyFill="1" applyBorder="1" applyAlignment="1" applyProtection="1">
      <alignment horizontal="left" vertical="top" wrapText="1"/>
    </xf>
    <xf numFmtId="168" fontId="14" fillId="0" borderId="86" xfId="1" applyNumberFormat="1" applyFont="1" applyFill="1" applyBorder="1" applyAlignment="1" applyProtection="1">
      <alignment horizontal="left" vertical="top" wrapText="1"/>
    </xf>
    <xf numFmtId="168" fontId="14" fillId="0" borderId="62" xfId="1" applyNumberFormat="1" applyFont="1" applyFill="1" applyBorder="1" applyAlignment="1" applyProtection="1">
      <alignment horizontal="center" vertical="top" wrapText="1"/>
    </xf>
    <xf numFmtId="168" fontId="14" fillId="0" borderId="60" xfId="1" applyNumberFormat="1" applyFont="1" applyFill="1" applyBorder="1" applyAlignment="1" applyProtection="1">
      <alignment horizontal="center" vertical="top" wrapText="1"/>
    </xf>
    <xf numFmtId="168" fontId="14" fillId="0" borderId="102" xfId="1" applyNumberFormat="1" applyFont="1" applyFill="1" applyBorder="1" applyAlignment="1" applyProtection="1">
      <alignment horizontal="center" vertical="top" wrapText="1"/>
    </xf>
    <xf numFmtId="168" fontId="14" fillId="0" borderId="87" xfId="1" applyNumberFormat="1" applyFont="1" applyFill="1" applyBorder="1" applyAlignment="1" applyProtection="1">
      <alignment horizontal="center" vertical="top" wrapText="1"/>
    </xf>
    <xf numFmtId="168" fontId="14" fillId="0" borderId="59" xfId="1" applyNumberFormat="1" applyFont="1" applyFill="1" applyBorder="1" applyAlignment="1" applyProtection="1">
      <alignment horizontal="center" vertical="top" wrapText="1"/>
    </xf>
    <xf numFmtId="168" fontId="14" fillId="0" borderId="61" xfId="1" applyNumberFormat="1" applyFont="1" applyFill="1" applyBorder="1" applyAlignment="1" applyProtection="1">
      <alignment horizontal="center" vertical="top" wrapText="1"/>
    </xf>
    <xf numFmtId="0" fontId="14" fillId="0" borderId="5" xfId="0" applyFont="1" applyBorder="1" applyAlignment="1">
      <alignment horizontal="center" vertical="top" wrapText="1"/>
    </xf>
    <xf numFmtId="178" fontId="9" fillId="0" borderId="11" xfId="0" applyNumberFormat="1" applyFont="1" applyFill="1" applyBorder="1" applyAlignment="1" applyProtection="1">
      <alignment horizontal="center"/>
      <protection locked="0"/>
    </xf>
    <xf numFmtId="0" fontId="16" fillId="0" borderId="92" xfId="0" applyFont="1" applyFill="1" applyBorder="1" applyAlignment="1" applyProtection="1">
      <alignment horizontal="center" vertical="center" wrapText="1"/>
    </xf>
    <xf numFmtId="0" fontId="14" fillId="0" borderId="5" xfId="0" applyFont="1" applyFill="1" applyBorder="1" applyAlignment="1">
      <alignment horizontal="center"/>
    </xf>
    <xf numFmtId="0" fontId="16" fillId="0" borderId="47" xfId="0" applyFont="1" applyFill="1" applyBorder="1" applyAlignment="1" applyProtection="1">
      <alignment horizontal="center" vertical="center" wrapText="1"/>
    </xf>
    <xf numFmtId="0" fontId="16" fillId="0" borderId="42"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3" xfId="0" applyFont="1" applyFill="1" applyBorder="1" applyAlignment="1" applyProtection="1">
      <alignment horizontal="center" vertical="center" wrapText="1"/>
    </xf>
    <xf numFmtId="0" fontId="14" fillId="0" borderId="1" xfId="0" applyFont="1" applyFill="1" applyBorder="1" applyAlignment="1">
      <alignment horizontal="center"/>
    </xf>
    <xf numFmtId="178" fontId="9" fillId="0" borderId="43" xfId="0" applyNumberFormat="1" applyFont="1" applyFill="1" applyBorder="1" applyProtection="1">
      <protection locked="0"/>
    </xf>
    <xf numFmtId="178" fontId="9" fillId="0" borderId="75" xfId="0" applyNumberFormat="1" applyFont="1" applyFill="1" applyBorder="1" applyProtection="1">
      <protection locked="0"/>
    </xf>
    <xf numFmtId="178" fontId="16" fillId="0" borderId="12" xfId="0" applyNumberFormat="1" applyFont="1" applyFill="1" applyBorder="1" applyProtection="1"/>
    <xf numFmtId="178" fontId="16" fillId="0" borderId="43" xfId="0" applyNumberFormat="1" applyFont="1" applyFill="1" applyBorder="1" applyProtection="1"/>
    <xf numFmtId="178" fontId="16" fillId="0" borderId="6" xfId="0" applyNumberFormat="1" applyFont="1" applyFill="1" applyBorder="1" applyProtection="1"/>
    <xf numFmtId="178" fontId="16" fillId="0" borderId="45" xfId="0" applyNumberFormat="1" applyFont="1" applyFill="1" applyBorder="1" applyProtection="1"/>
    <xf numFmtId="178" fontId="16" fillId="0" borderId="7" xfId="0" applyNumberFormat="1" applyFont="1" applyFill="1" applyBorder="1" applyProtection="1"/>
    <xf numFmtId="0" fontId="14" fillId="0" borderId="1" xfId="0" applyNumberFormat="1" applyFont="1" applyFill="1" applyBorder="1" applyAlignment="1" applyProtection="1">
      <alignment horizontal="center"/>
    </xf>
    <xf numFmtId="178" fontId="16" fillId="0" borderId="0" xfId="0" applyNumberFormat="1" applyFont="1" applyFill="1" applyBorder="1" applyProtection="1">
      <protection locked="0"/>
    </xf>
    <xf numFmtId="178" fontId="14" fillId="0" borderId="64" xfId="0" applyNumberFormat="1" applyFont="1" applyFill="1" applyBorder="1" applyProtection="1"/>
    <xf numFmtId="178" fontId="14" fillId="0" borderId="36" xfId="0" applyNumberFormat="1" applyFont="1" applyFill="1" applyBorder="1" applyProtection="1"/>
    <xf numFmtId="178" fontId="14" fillId="0" borderId="10" xfId="0" applyNumberFormat="1" applyFont="1" applyFill="1" applyBorder="1" applyProtection="1"/>
    <xf numFmtId="178" fontId="14" fillId="0" borderId="4" xfId="0" applyNumberFormat="1" applyFont="1" applyFill="1" applyBorder="1" applyProtection="1"/>
    <xf numFmtId="178" fontId="14" fillId="0" borderId="9" xfId="0" applyNumberFormat="1" applyFont="1" applyFill="1" applyBorder="1" applyProtection="1"/>
    <xf numFmtId="0" fontId="19" fillId="0" borderId="0" xfId="0" applyFont="1" applyAlignment="1" applyProtection="1">
      <alignment horizontal="center"/>
    </xf>
    <xf numFmtId="0" fontId="16" fillId="0" borderId="38" xfId="0" applyFont="1" applyFill="1" applyBorder="1" applyAlignment="1">
      <alignment horizontal="center" vertical="top" wrapText="1"/>
    </xf>
    <xf numFmtId="0" fontId="16" fillId="0" borderId="41" xfId="0" applyFont="1" applyFill="1" applyBorder="1" applyAlignment="1">
      <alignment horizontal="center" vertical="top" wrapText="1"/>
    </xf>
    <xf numFmtId="0" fontId="16" fillId="0" borderId="119" xfId="0" applyFont="1" applyFill="1" applyBorder="1" applyAlignment="1">
      <alignment horizontal="center" vertical="top" wrapText="1"/>
    </xf>
    <xf numFmtId="0" fontId="16" fillId="0" borderId="82" xfId="0" applyFont="1" applyFill="1" applyBorder="1" applyAlignment="1">
      <alignment horizontal="center" vertical="top" wrapText="1"/>
    </xf>
    <xf numFmtId="0" fontId="16" fillId="0" borderId="100" xfId="0" applyFont="1" applyFill="1" applyBorder="1" applyAlignment="1">
      <alignment horizontal="center" vertical="top" wrapText="1"/>
    </xf>
    <xf numFmtId="0" fontId="16" fillId="0" borderId="88" xfId="0" applyFont="1" applyFill="1" applyBorder="1" applyAlignment="1">
      <alignment horizontal="center" vertical="top" wrapText="1"/>
    </xf>
    <xf numFmtId="0" fontId="16" fillId="0" borderId="56" xfId="0" applyFont="1" applyFill="1" applyBorder="1" applyAlignment="1">
      <alignment horizontal="center" vertical="top" wrapText="1"/>
    </xf>
    <xf numFmtId="0" fontId="16" fillId="0" borderId="84" xfId="0" applyFont="1" applyFill="1" applyBorder="1" applyAlignment="1">
      <alignment horizontal="center" vertical="top" wrapText="1"/>
    </xf>
    <xf numFmtId="0" fontId="14" fillId="0" borderId="7" xfId="0" applyNumberFormat="1" applyFont="1" applyFill="1" applyBorder="1" applyAlignment="1" applyProtection="1">
      <alignment horizontal="center"/>
    </xf>
    <xf numFmtId="0" fontId="14" fillId="0" borderId="8" xfId="0" applyNumberFormat="1" applyFont="1" applyFill="1" applyBorder="1" applyAlignment="1" applyProtection="1">
      <alignment horizontal="center"/>
    </xf>
    <xf numFmtId="0" fontId="14" fillId="0" borderId="72" xfId="0" applyNumberFormat="1" applyFont="1" applyFill="1" applyBorder="1" applyAlignment="1" applyProtection="1">
      <alignment horizontal="center"/>
    </xf>
    <xf numFmtId="0" fontId="14" fillId="0" borderId="10" xfId="0" applyNumberFormat="1" applyFont="1" applyFill="1" applyBorder="1" applyAlignment="1" applyProtection="1">
      <alignment horizontal="center"/>
    </xf>
    <xf numFmtId="0" fontId="16" fillId="0" borderId="38" xfId="0" applyFont="1" applyFill="1" applyBorder="1" applyAlignment="1">
      <alignment horizontal="centerContinuous" vertical="center" wrapText="1"/>
    </xf>
    <xf numFmtId="168" fontId="14" fillId="0" borderId="43" xfId="1" applyNumberFormat="1" applyFont="1" applyBorder="1" applyAlignment="1">
      <alignment vertical="top" wrapText="1"/>
    </xf>
    <xf numFmtId="168" fontId="14" fillId="0" borderId="7" xfId="1" applyNumberFormat="1" applyFont="1" applyBorder="1" applyAlignment="1">
      <alignment vertical="top" wrapText="1"/>
    </xf>
    <xf numFmtId="168" fontId="14" fillId="0" borderId="12" xfId="1" applyNumberFormat="1" applyFont="1" applyBorder="1" applyAlignment="1">
      <alignment vertical="top" wrapText="1"/>
    </xf>
    <xf numFmtId="0" fontId="14" fillId="0" borderId="3" xfId="0" applyNumberFormat="1" applyFont="1" applyBorder="1" applyAlignment="1">
      <alignment horizontal="left" wrapText="1" indent="2"/>
    </xf>
    <xf numFmtId="168" fontId="14" fillId="14" borderId="42" xfId="1" applyNumberFormat="1" applyFont="1" applyFill="1" applyBorder="1" applyAlignment="1" applyProtection="1">
      <alignment vertical="top" wrapText="1"/>
      <protection locked="0"/>
    </xf>
    <xf numFmtId="168" fontId="14" fillId="14" borderId="8" xfId="1" applyNumberFormat="1" applyFont="1" applyFill="1" applyBorder="1" applyAlignment="1" applyProtection="1">
      <alignment vertical="top" wrapText="1"/>
      <protection locked="0"/>
    </xf>
    <xf numFmtId="168" fontId="14" fillId="14" borderId="3" xfId="1" applyNumberFormat="1" applyFont="1" applyFill="1" applyBorder="1" applyAlignment="1" applyProtection="1">
      <alignment vertical="top" wrapText="1"/>
      <protection locked="0"/>
    </xf>
    <xf numFmtId="0" fontId="22" fillId="0" borderId="3" xfId="0" applyNumberFormat="1" applyFont="1" applyBorder="1" applyAlignment="1">
      <alignment horizontal="left" wrapText="1" indent="1"/>
    </xf>
    <xf numFmtId="0" fontId="17" fillId="0" borderId="3" xfId="0" applyNumberFormat="1" applyFont="1" applyBorder="1" applyAlignment="1">
      <alignment horizontal="left" wrapText="1" indent="1"/>
    </xf>
    <xf numFmtId="0" fontId="17" fillId="0" borderId="3" xfId="0" applyNumberFormat="1" applyFont="1" applyFill="1" applyBorder="1" applyAlignment="1">
      <alignment horizontal="left" indent="1"/>
    </xf>
    <xf numFmtId="182" fontId="14" fillId="14" borderId="47" xfId="1" applyNumberFormat="1" applyFont="1" applyFill="1" applyBorder="1" applyAlignment="1" applyProtection="1">
      <alignment horizontal="left" vertical="top" wrapText="1" indent="2"/>
      <protection locked="0"/>
    </xf>
    <xf numFmtId="0" fontId="14" fillId="0" borderId="3" xfId="0" applyNumberFormat="1" applyFont="1" applyBorder="1" applyAlignment="1">
      <alignment horizontal="left" vertical="top" wrapText="1" indent="2"/>
    </xf>
    <xf numFmtId="168" fontId="14" fillId="0" borderId="36" xfId="1" applyNumberFormat="1" applyFont="1" applyBorder="1" applyAlignment="1">
      <alignment horizontal="center" vertical="top" wrapText="1"/>
    </xf>
    <xf numFmtId="168" fontId="14" fillId="0" borderId="10" xfId="1" applyNumberFormat="1" applyFont="1" applyBorder="1" applyAlignment="1">
      <alignment horizontal="center" vertical="top" wrapText="1"/>
    </xf>
    <xf numFmtId="168" fontId="14" fillId="0" borderId="4" xfId="1" applyNumberFormat="1" applyFont="1" applyBorder="1" applyAlignment="1">
      <alignment horizontal="center" vertical="top" wrapText="1"/>
    </xf>
    <xf numFmtId="0" fontId="11" fillId="0" borderId="4" xfId="0" applyFont="1" applyFill="1" applyBorder="1" applyAlignment="1">
      <alignment horizontal="left"/>
    </xf>
    <xf numFmtId="168" fontId="14" fillId="0" borderId="42" xfId="1" applyNumberFormat="1" applyFont="1" applyFill="1" applyBorder="1" applyAlignment="1" applyProtection="1">
      <alignment vertical="top" wrapText="1"/>
      <protection locked="0"/>
    </xf>
    <xf numFmtId="168" fontId="14" fillId="0" borderId="8" xfId="1" applyNumberFormat="1" applyFont="1" applyFill="1" applyBorder="1" applyAlignment="1" applyProtection="1">
      <alignment vertical="top" wrapText="1"/>
      <protection locked="0"/>
    </xf>
    <xf numFmtId="168" fontId="14" fillId="0" borderId="3" xfId="1" applyNumberFormat="1" applyFont="1" applyFill="1" applyBorder="1" applyAlignment="1" applyProtection="1">
      <alignment vertical="top" wrapText="1"/>
      <protection locked="0"/>
    </xf>
    <xf numFmtId="182" fontId="14" fillId="14" borderId="3" xfId="1" applyNumberFormat="1" applyFont="1" applyFill="1" applyBorder="1" applyAlignment="1" applyProtection="1">
      <alignment horizontal="left" vertical="top" wrapText="1" indent="2"/>
      <protection locked="0"/>
    </xf>
    <xf numFmtId="0" fontId="14" fillId="0" borderId="3" xfId="0" applyNumberFormat="1" applyFont="1" applyFill="1" applyBorder="1" applyAlignment="1" applyProtection="1">
      <alignment horizontal="left" vertical="top" wrapText="1" indent="1"/>
      <protection locked="0"/>
    </xf>
    <xf numFmtId="0" fontId="19" fillId="0" borderId="68" xfId="0" applyNumberFormat="1" applyFont="1" applyFill="1" applyBorder="1" applyAlignment="1" applyProtection="1">
      <alignment horizontal="left" vertical="top" wrapText="1" indent="1"/>
      <protection locked="0"/>
    </xf>
    <xf numFmtId="0" fontId="14" fillId="0" borderId="11" xfId="0" applyNumberFormat="1" applyFont="1" applyFill="1" applyBorder="1" applyAlignment="1">
      <alignment horizontal="center" wrapText="1"/>
    </xf>
    <xf numFmtId="0" fontId="14" fillId="0" borderId="1" xfId="0" applyNumberFormat="1" applyFont="1" applyFill="1" applyBorder="1" applyAlignment="1">
      <alignment horizontal="center" wrapText="1"/>
    </xf>
    <xf numFmtId="0" fontId="14" fillId="0" borderId="1" xfId="0" applyNumberFormat="1" applyFont="1" applyFill="1" applyBorder="1" applyAlignment="1">
      <alignment horizontal="center" vertical="top" wrapText="1"/>
    </xf>
    <xf numFmtId="0" fontId="14" fillId="0" borderId="98" xfId="0" applyNumberFormat="1" applyFont="1" applyFill="1" applyBorder="1" applyAlignment="1">
      <alignment horizontal="center" vertical="top" wrapText="1"/>
    </xf>
    <xf numFmtId="0" fontId="16" fillId="0" borderId="43" xfId="0" applyFont="1" applyFill="1" applyBorder="1" applyAlignment="1">
      <alignment vertical="center" wrapText="1"/>
    </xf>
    <xf numFmtId="0" fontId="16" fillId="0" borderId="75" xfId="0" applyFont="1" applyFill="1" applyBorder="1" applyAlignment="1">
      <alignment vertical="center" wrapText="1"/>
    </xf>
    <xf numFmtId="0" fontId="16" fillId="0" borderId="103" xfId="0" applyFont="1" applyFill="1" applyBorder="1" applyAlignment="1">
      <alignment vertical="center" wrapText="1"/>
    </xf>
    <xf numFmtId="0" fontId="17" fillId="0" borderId="4" xfId="0" applyNumberFormat="1" applyFont="1" applyBorder="1"/>
    <xf numFmtId="0" fontId="19" fillId="0" borderId="36" xfId="0" applyNumberFormat="1" applyFont="1" applyBorder="1" applyAlignment="1">
      <alignment horizontal="center"/>
    </xf>
    <xf numFmtId="171" fontId="19" fillId="0" borderId="36" xfId="6" applyNumberFormat="1" applyFont="1" applyFill="1" applyBorder="1" applyAlignment="1">
      <alignment horizontal="center"/>
    </xf>
    <xf numFmtId="171" fontId="19" fillId="0" borderId="10" xfId="6" applyNumberFormat="1" applyFont="1" applyFill="1" applyBorder="1" applyAlignment="1">
      <alignment horizontal="center"/>
    </xf>
    <xf numFmtId="171" fontId="19" fillId="0" borderId="4" xfId="6" applyNumberFormat="1" applyFont="1" applyFill="1" applyBorder="1" applyAlignment="1">
      <alignment horizontal="center"/>
    </xf>
    <xf numFmtId="171" fontId="19" fillId="0" borderId="9" xfId="6" applyNumberFormat="1" applyFont="1" applyFill="1" applyBorder="1" applyAlignment="1">
      <alignment horizontal="center"/>
    </xf>
    <xf numFmtId="171" fontId="19" fillId="0" borderId="64" xfId="6" applyNumberFormat="1" applyFont="1" applyFill="1" applyBorder="1" applyAlignment="1">
      <alignment horizontal="center"/>
    </xf>
    <xf numFmtId="0" fontId="14" fillId="0" borderId="75" xfId="0" applyFont="1" applyBorder="1" applyAlignment="1">
      <alignment horizontal="center"/>
    </xf>
    <xf numFmtId="0" fontId="14" fillId="0" borderId="76" xfId="0" applyFont="1" applyBorder="1" applyAlignment="1">
      <alignment horizontal="center"/>
    </xf>
    <xf numFmtId="0" fontId="14" fillId="0" borderId="77" xfId="0" applyFont="1" applyBorder="1" applyAlignment="1">
      <alignment horizontal="center"/>
    </xf>
    <xf numFmtId="0" fontId="17" fillId="0" borderId="12" xfId="0" applyNumberFormat="1" applyFont="1" applyBorder="1"/>
    <xf numFmtId="0" fontId="19" fillId="0" borderId="43" xfId="0" applyNumberFormat="1" applyFont="1" applyBorder="1" applyAlignment="1">
      <alignment horizontal="center"/>
    </xf>
    <xf numFmtId="171" fontId="19" fillId="0" borderId="43" xfId="6" applyNumberFormat="1" applyFont="1" applyFill="1" applyBorder="1" applyAlignment="1">
      <alignment horizontal="center"/>
    </xf>
    <xf numFmtId="171" fontId="19" fillId="0" borderId="7" xfId="6" applyNumberFormat="1" applyFont="1" applyFill="1" applyBorder="1" applyAlignment="1">
      <alignment horizontal="center"/>
    </xf>
    <xf numFmtId="171" fontId="19" fillId="0" borderId="12" xfId="6" applyNumberFormat="1" applyFont="1" applyFill="1" applyBorder="1" applyAlignment="1">
      <alignment horizontal="center"/>
    </xf>
    <xf numFmtId="171" fontId="19" fillId="0" borderId="6" xfId="6" applyNumberFormat="1" applyFont="1" applyFill="1" applyBorder="1" applyAlignment="1">
      <alignment horizontal="center"/>
    </xf>
    <xf numFmtId="171" fontId="19" fillId="0" borderId="45" xfId="6" applyNumberFormat="1" applyFont="1" applyFill="1" applyBorder="1" applyAlignment="1">
      <alignment horizontal="center"/>
    </xf>
    <xf numFmtId="0" fontId="14" fillId="0" borderId="42" xfId="0" applyNumberFormat="1" applyFont="1" applyFill="1" applyBorder="1" applyAlignment="1">
      <alignment horizontal="center" vertical="top" wrapText="1"/>
    </xf>
    <xf numFmtId="178" fontId="14" fillId="0" borderId="0" xfId="0" applyNumberFormat="1" applyFont="1" applyFill="1"/>
    <xf numFmtId="9" fontId="14" fillId="0" borderId="0" xfId="6" applyFont="1" applyFill="1" applyAlignment="1">
      <alignment horizontal="center"/>
    </xf>
    <xf numFmtId="9" fontId="14" fillId="0" borderId="0" xfId="6" applyFont="1" applyFill="1" applyAlignment="1" applyProtection="1">
      <alignment horizontal="center"/>
      <protection locked="0"/>
    </xf>
    <xf numFmtId="182" fontId="14" fillId="0" borderId="47" xfId="1" applyNumberFormat="1" applyFont="1" applyFill="1" applyBorder="1" applyAlignment="1" applyProtection="1">
      <alignment vertical="top" wrapText="1"/>
      <protection locked="0"/>
    </xf>
    <xf numFmtId="168" fontId="16" fillId="0" borderId="42" xfId="1" applyNumberFormat="1" applyFont="1" applyFill="1" applyBorder="1" applyAlignment="1">
      <alignment vertical="top" wrapText="1"/>
    </xf>
    <xf numFmtId="168" fontId="16" fillId="0" borderId="8" xfId="1" applyNumberFormat="1" applyFont="1" applyFill="1" applyBorder="1" applyAlignment="1">
      <alignment vertical="top" wrapText="1"/>
    </xf>
    <xf numFmtId="168" fontId="16" fillId="0" borderId="3" xfId="1" applyNumberFormat="1" applyFont="1" applyFill="1" applyBorder="1" applyAlignment="1">
      <alignment vertical="top" wrapText="1"/>
    </xf>
    <xf numFmtId="0" fontId="14" fillId="0" borderId="3" xfId="0" applyNumberFormat="1" applyFont="1" applyFill="1" applyBorder="1" applyAlignment="1">
      <alignment horizontal="left" wrapText="1" indent="2"/>
    </xf>
    <xf numFmtId="0" fontId="14" fillId="0" borderId="67" xfId="0" applyNumberFormat="1" applyFont="1" applyFill="1" applyBorder="1" applyAlignment="1">
      <alignment horizontal="center"/>
    </xf>
    <xf numFmtId="0" fontId="14" fillId="0" borderId="67" xfId="0" applyNumberFormat="1" applyFont="1" applyFill="1" applyBorder="1" applyAlignment="1" applyProtection="1">
      <alignment horizontal="center"/>
      <protection locked="0"/>
    </xf>
    <xf numFmtId="0" fontId="14" fillId="0" borderId="37" xfId="0" applyNumberFormat="1" applyFont="1" applyFill="1" applyBorder="1" applyAlignment="1">
      <alignment horizontal="center"/>
    </xf>
    <xf numFmtId="0" fontId="14" fillId="0" borderId="0" xfId="0" applyFont="1" applyFill="1" applyBorder="1" applyAlignment="1" applyProtection="1">
      <alignment horizontal="center"/>
      <protection locked="0"/>
    </xf>
    <xf numFmtId="0" fontId="14" fillId="0" borderId="0" xfId="0" applyFont="1" applyFill="1" applyAlignment="1">
      <alignment horizontal="center"/>
    </xf>
    <xf numFmtId="0" fontId="16" fillId="0" borderId="43" xfId="0" applyFont="1" applyFill="1" applyBorder="1" applyAlignment="1">
      <alignment horizontal="center" wrapText="1"/>
    </xf>
    <xf numFmtId="178" fontId="16" fillId="0" borderId="47" xfId="0" applyNumberFormat="1" applyFont="1" applyFill="1" applyBorder="1" applyAlignment="1">
      <alignment horizontal="right"/>
    </xf>
    <xf numFmtId="178" fontId="16" fillId="0" borderId="76" xfId="0" applyNumberFormat="1" applyFont="1" applyFill="1" applyBorder="1" applyAlignment="1">
      <alignment horizontal="right"/>
    </xf>
    <xf numFmtId="178" fontId="16" fillId="0" borderId="51" xfId="0" applyNumberFormat="1" applyFont="1" applyFill="1" applyBorder="1" applyAlignment="1">
      <alignment horizontal="right"/>
    </xf>
    <xf numFmtId="178" fontId="16" fillId="0" borderId="79" xfId="0" applyNumberFormat="1" applyFont="1" applyFill="1" applyBorder="1" applyAlignment="1">
      <alignment horizontal="right"/>
    </xf>
    <xf numFmtId="178" fontId="14" fillId="0" borderId="35" xfId="0" applyNumberFormat="1" applyFont="1" applyFill="1" applyBorder="1"/>
    <xf numFmtId="0" fontId="16" fillId="0" borderId="100" xfId="0" applyFont="1" applyFill="1" applyBorder="1" applyAlignment="1">
      <alignment horizontal="center" vertical="center" wrapText="1"/>
    </xf>
    <xf numFmtId="0" fontId="14" fillId="0" borderId="42" xfId="0" applyNumberFormat="1" applyFont="1" applyFill="1" applyBorder="1" applyProtection="1"/>
    <xf numFmtId="0" fontId="14" fillId="0" borderId="8" xfId="0" applyNumberFormat="1" applyFont="1" applyFill="1" applyBorder="1" applyProtection="1"/>
    <xf numFmtId="0" fontId="14" fillId="0" borderId="3" xfId="0" applyNumberFormat="1" applyFont="1" applyFill="1" applyBorder="1" applyProtection="1"/>
    <xf numFmtId="0" fontId="14" fillId="0" borderId="0" xfId="0" applyNumberFormat="1" applyFont="1" applyFill="1" applyBorder="1" applyProtection="1"/>
    <xf numFmtId="0" fontId="14" fillId="0" borderId="47" xfId="0" applyNumberFormat="1" applyFont="1" applyFill="1" applyBorder="1" applyProtection="1"/>
    <xf numFmtId="179" fontId="14" fillId="0" borderId="46" xfId="0" applyNumberFormat="1" applyFont="1" applyFill="1" applyBorder="1" applyProtection="1"/>
    <xf numFmtId="179" fontId="14" fillId="0" borderId="49" xfId="0" applyNumberFormat="1" applyFont="1" applyFill="1" applyBorder="1" applyProtection="1"/>
    <xf numFmtId="179" fontId="14" fillId="0" borderId="50" xfId="0" applyNumberFormat="1" applyFont="1" applyFill="1" applyBorder="1" applyProtection="1"/>
    <xf numFmtId="179" fontId="14" fillId="0" borderId="48" xfId="0" applyNumberFormat="1" applyFont="1" applyFill="1" applyBorder="1" applyProtection="1"/>
    <xf numFmtId="179" fontId="14" fillId="0" borderId="51" xfId="0" applyNumberFormat="1" applyFont="1" applyFill="1" applyBorder="1" applyProtection="1"/>
    <xf numFmtId="179" fontId="14" fillId="0" borderId="60" xfId="0" applyNumberFormat="1" applyFont="1" applyFill="1" applyBorder="1" applyProtection="1"/>
    <xf numFmtId="179" fontId="14" fillId="0" borderId="61" xfId="0" applyNumberFormat="1" applyFont="1" applyFill="1" applyBorder="1" applyProtection="1"/>
    <xf numFmtId="179" fontId="14" fillId="0" borderId="62" xfId="0" applyNumberFormat="1" applyFont="1" applyFill="1" applyBorder="1" applyProtection="1"/>
    <xf numFmtId="179" fontId="14" fillId="0" borderId="59" xfId="0" applyNumberFormat="1" applyFont="1" applyFill="1" applyBorder="1" applyProtection="1"/>
    <xf numFmtId="179" fontId="14" fillId="0" borderId="63" xfId="0" applyNumberFormat="1" applyFont="1" applyFill="1" applyBorder="1" applyProtection="1"/>
    <xf numFmtId="179" fontId="16" fillId="0" borderId="46" xfId="0" applyNumberFormat="1" applyFont="1" applyFill="1" applyBorder="1" applyProtection="1"/>
    <xf numFmtId="179" fontId="16" fillId="0" borderId="49" xfId="0" applyNumberFormat="1" applyFont="1" applyFill="1" applyBorder="1" applyProtection="1"/>
    <xf numFmtId="179" fontId="16" fillId="0" borderId="50" xfId="0" applyNumberFormat="1" applyFont="1" applyFill="1" applyBorder="1" applyProtection="1"/>
    <xf numFmtId="179" fontId="16" fillId="0" borderId="48" xfId="0" applyNumberFormat="1" applyFont="1" applyFill="1" applyBorder="1" applyProtection="1"/>
    <xf numFmtId="179" fontId="16" fillId="0" borderId="51" xfId="0" applyNumberFormat="1" applyFont="1" applyFill="1" applyBorder="1" applyProtection="1"/>
    <xf numFmtId="179" fontId="14" fillId="0" borderId="42" xfId="0" applyNumberFormat="1" applyFont="1" applyFill="1" applyBorder="1" applyProtection="1"/>
    <xf numFmtId="179" fontId="14" fillId="0" borderId="8" xfId="0" applyNumberFormat="1" applyFont="1" applyFill="1" applyBorder="1" applyProtection="1"/>
    <xf numFmtId="179" fontId="14" fillId="0" borderId="3" xfId="0" applyNumberFormat="1" applyFont="1" applyFill="1" applyBorder="1" applyProtection="1"/>
    <xf numFmtId="179" fontId="14" fillId="0" borderId="0" xfId="0" applyNumberFormat="1" applyFont="1" applyFill="1" applyBorder="1" applyProtection="1"/>
    <xf numFmtId="179" fontId="14" fillId="0" borderId="47" xfId="0" applyNumberFormat="1" applyFont="1" applyFill="1" applyBorder="1" applyProtection="1"/>
    <xf numFmtId="0" fontId="14" fillId="0" borderId="0" xfId="0" applyNumberFormat="1" applyFont="1" applyFill="1" applyProtection="1"/>
    <xf numFmtId="0" fontId="14" fillId="0" borderId="0" xfId="0" applyNumberFormat="1" applyFont="1" applyProtection="1"/>
    <xf numFmtId="0" fontId="16" fillId="0" borderId="42" xfId="0" applyNumberFormat="1" applyFont="1" applyFill="1" applyBorder="1" applyProtection="1"/>
    <xf numFmtId="0" fontId="16" fillId="0" borderId="8" xfId="0" applyNumberFormat="1" applyFont="1" applyFill="1" applyBorder="1" applyProtection="1"/>
    <xf numFmtId="0" fontId="16" fillId="0" borderId="3" xfId="0" applyNumberFormat="1" applyFont="1" applyFill="1" applyBorder="1" applyProtection="1"/>
    <xf numFmtId="0" fontId="16" fillId="0" borderId="0" xfId="0" applyNumberFormat="1" applyFont="1" applyFill="1" applyBorder="1" applyProtection="1"/>
    <xf numFmtId="0" fontId="16" fillId="0" borderId="47" xfId="0" applyNumberFormat="1" applyFont="1" applyFill="1" applyBorder="1" applyProtection="1"/>
    <xf numFmtId="0" fontId="14" fillId="0" borderId="3" xfId="0" applyNumberFormat="1" applyFont="1" applyBorder="1" applyAlignment="1" applyProtection="1">
      <alignment horizontal="left" wrapText="1" indent="1"/>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left" indent="2"/>
    </xf>
    <xf numFmtId="0" fontId="33" fillId="0" borderId="3" xfId="0" applyFont="1" applyBorder="1" applyAlignment="1">
      <alignment horizontal="center"/>
    </xf>
    <xf numFmtId="0" fontId="20" fillId="0" borderId="0" xfId="0" applyFont="1" applyAlignment="1">
      <alignment horizontal="left"/>
    </xf>
    <xf numFmtId="0" fontId="19" fillId="0" borderId="0" xfId="0" applyNumberFormat="1" applyFont="1" applyFill="1" applyProtection="1"/>
    <xf numFmtId="0" fontId="14" fillId="0" borderId="0" xfId="0" applyFont="1" applyFill="1" applyAlignment="1" applyProtection="1">
      <alignment horizontal="center"/>
      <protection locked="0"/>
    </xf>
    <xf numFmtId="0" fontId="16" fillId="0" borderId="36" xfId="0" quotePrefix="1" applyFont="1" applyFill="1" applyBorder="1" applyAlignment="1">
      <alignment horizontal="center" vertical="center" wrapText="1"/>
    </xf>
    <xf numFmtId="0" fontId="16" fillId="0" borderId="43" xfId="0" applyFont="1" applyFill="1" applyBorder="1" applyAlignment="1">
      <alignment horizontal="right" wrapText="1"/>
    </xf>
    <xf numFmtId="0" fontId="40" fillId="14" borderId="76" xfId="0" applyNumberFormat="1" applyFont="1" applyFill="1" applyBorder="1" applyAlignment="1" applyProtection="1">
      <alignment horizontal="center"/>
      <protection locked="0"/>
    </xf>
    <xf numFmtId="0" fontId="8" fillId="14" borderId="8" xfId="2" applyFill="1" applyBorder="1" applyAlignment="1" applyProtection="1">
      <alignment horizontal="justify" vertical="top" wrapText="1"/>
      <protection locked="0"/>
    </xf>
    <xf numFmtId="0" fontId="8" fillId="14" borderId="8" xfId="2" applyFill="1" applyBorder="1" applyAlignment="1" applyProtection="1">
      <alignment horizontal="left" vertical="top" wrapText="1"/>
      <protection locked="0"/>
    </xf>
    <xf numFmtId="3" fontId="9" fillId="14" borderId="34" xfId="0" quotePrefix="1" applyNumberFormat="1" applyFont="1" applyFill="1" applyBorder="1" applyAlignment="1" applyProtection="1">
      <alignment horizontal="justify" wrapText="1"/>
      <protection locked="0"/>
    </xf>
    <xf numFmtId="0" fontId="9" fillId="14" borderId="7" xfId="0" quotePrefix="1" applyFont="1" applyFill="1" applyBorder="1" applyAlignment="1" applyProtection="1">
      <alignment horizontal="justify" wrapText="1"/>
      <protection locked="0"/>
    </xf>
    <xf numFmtId="0" fontId="9" fillId="14" borderId="34" xfId="0" quotePrefix="1" applyFont="1" applyFill="1" applyBorder="1" applyAlignment="1" applyProtection="1">
      <alignment horizontal="justify" wrapText="1"/>
      <protection locked="0"/>
    </xf>
    <xf numFmtId="0" fontId="8" fillId="14" borderId="7" xfId="2" applyFill="1" applyBorder="1" applyAlignment="1" applyProtection="1">
      <alignment horizontal="justify" wrapText="1"/>
      <protection locked="0"/>
    </xf>
    <xf numFmtId="0" fontId="8" fillId="14" borderId="34" xfId="2" applyFill="1" applyBorder="1" applyAlignment="1" applyProtection="1">
      <alignment horizontal="justify" wrapText="1"/>
      <protection locked="0"/>
    </xf>
    <xf numFmtId="0" fontId="8" fillId="14" borderId="8" xfId="2" applyFill="1" applyBorder="1" applyAlignment="1" applyProtection="1">
      <alignment horizontal="justify" wrapText="1"/>
      <protection locked="0"/>
    </xf>
    <xf numFmtId="0" fontId="3" fillId="0" borderId="0" xfId="0" applyFont="1" applyFill="1"/>
    <xf numFmtId="178" fontId="25" fillId="0" borderId="0" xfId="0" applyNumberFormat="1" applyFont="1"/>
    <xf numFmtId="198" fontId="14" fillId="0" borderId="0" xfId="1" applyNumberFormat="1" applyFont="1"/>
    <xf numFmtId="198" fontId="14" fillId="0" borderId="0" xfId="1" applyNumberFormat="1" applyFont="1" applyBorder="1"/>
    <xf numFmtId="198" fontId="14" fillId="0" borderId="9" xfId="1" applyNumberFormat="1" applyFont="1" applyBorder="1"/>
    <xf numFmtId="179" fontId="14" fillId="0" borderId="0" xfId="0" applyNumberFormat="1" applyFont="1"/>
    <xf numFmtId="9" fontId="14" fillId="0" borderId="0" xfId="6" applyFont="1"/>
    <xf numFmtId="167" fontId="14" fillId="0" borderId="60" xfId="1" applyFont="1" applyFill="1" applyBorder="1" applyProtection="1"/>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1" fillId="0" borderId="9" xfId="0" applyFont="1" applyFill="1" applyBorder="1" applyAlignment="1">
      <alignment horizontal="left"/>
    </xf>
    <xf numFmtId="0" fontId="16" fillId="0" borderId="40" xfId="0" applyFont="1" applyFill="1" applyBorder="1" applyAlignment="1" applyProtection="1">
      <alignment horizontal="center" vertical="center" wrapText="1"/>
    </xf>
    <xf numFmtId="0" fontId="19" fillId="0" borderId="0" xfId="0" applyFont="1" applyFill="1" applyBorder="1" applyAlignment="1" applyProtection="1">
      <alignment horizontal="left"/>
    </xf>
    <xf numFmtId="0" fontId="16" fillId="0" borderId="12"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1" xfId="0" applyFont="1" applyFill="1" applyBorder="1" applyAlignment="1">
      <alignment horizontal="center" vertical="top" wrapText="1"/>
    </xf>
    <xf numFmtId="0" fontId="16" fillId="0" borderId="36"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11" xfId="0" applyFont="1" applyFill="1" applyBorder="1" applyAlignment="1">
      <alignment horizontal="center" vertical="center" wrapText="1"/>
    </xf>
    <xf numFmtId="0" fontId="16" fillId="0" borderId="6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36" xfId="0" applyFont="1" applyFill="1" applyBorder="1" applyAlignment="1">
      <alignment horizontal="center" vertical="top" wrapText="1"/>
    </xf>
    <xf numFmtId="0" fontId="16" fillId="0" borderId="7" xfId="0" applyFon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43" xfId="0" applyFont="1" applyFill="1" applyBorder="1" applyAlignment="1">
      <alignment horizontal="center"/>
    </xf>
    <xf numFmtId="0" fontId="16" fillId="0" borderId="6" xfId="0" applyFont="1" applyFill="1" applyBorder="1" applyAlignment="1">
      <alignment horizontal="center"/>
    </xf>
    <xf numFmtId="0" fontId="16" fillId="0" borderId="12" xfId="0" applyFont="1" applyFill="1" applyBorder="1" applyAlignment="1">
      <alignment horizontal="center"/>
    </xf>
    <xf numFmtId="0" fontId="16" fillId="0" borderId="7" xfId="0" applyFont="1" applyFill="1" applyBorder="1" applyAlignment="1">
      <alignment horizontal="center"/>
    </xf>
    <xf numFmtId="0" fontId="16" fillId="0" borderId="103" xfId="0" applyFont="1" applyFill="1" applyBorder="1" applyAlignment="1">
      <alignment horizontal="center"/>
    </xf>
    <xf numFmtId="178" fontId="14" fillId="0" borderId="67" xfId="0" applyNumberFormat="1" applyFont="1" applyFill="1" applyBorder="1" applyProtection="1">
      <protection locked="0"/>
    </xf>
    <xf numFmtId="178" fontId="14" fillId="0" borderId="76" xfId="0" applyNumberFormat="1" applyFont="1" applyFill="1" applyBorder="1" applyProtection="1">
      <protection locked="0"/>
    </xf>
    <xf numFmtId="178" fontId="14" fillId="0" borderId="99" xfId="0" applyNumberFormat="1" applyFont="1" applyFill="1" applyBorder="1" applyProtection="1">
      <protection locked="0"/>
    </xf>
    <xf numFmtId="178" fontId="14" fillId="0" borderId="46" xfId="0" applyNumberFormat="1" applyFont="1" applyFill="1" applyBorder="1" applyProtection="1">
      <protection locked="0"/>
    </xf>
    <xf numFmtId="178" fontId="14" fillId="0" borderId="80" xfId="0" applyNumberFormat="1" applyFont="1" applyFill="1" applyBorder="1" applyProtection="1">
      <protection locked="0"/>
    </xf>
    <xf numFmtId="178" fontId="14" fillId="0" borderId="51" xfId="0" applyNumberFormat="1" applyFont="1" applyFill="1" applyBorder="1" applyProtection="1">
      <protection locked="0"/>
    </xf>
    <xf numFmtId="178" fontId="14" fillId="0" borderId="79" xfId="0" applyNumberFormat="1" applyFont="1" applyFill="1" applyBorder="1" applyProtection="1">
      <protection locked="0"/>
    </xf>
    <xf numFmtId="178" fontId="14" fillId="0" borderId="104" xfId="0" applyNumberFormat="1" applyFont="1" applyFill="1" applyBorder="1" applyProtection="1">
      <protection locked="0"/>
    </xf>
    <xf numFmtId="178" fontId="16" fillId="0" borderId="46" xfId="0" applyNumberFormat="1" applyFont="1" applyFill="1" applyBorder="1" applyProtection="1">
      <protection locked="0"/>
    </xf>
    <xf numFmtId="178" fontId="16" fillId="0" borderId="80" xfId="0" applyNumberFormat="1" applyFont="1" applyFill="1" applyBorder="1" applyProtection="1">
      <protection locked="0"/>
    </xf>
    <xf numFmtId="178" fontId="16" fillId="0" borderId="51" xfId="0" applyNumberFormat="1" applyFont="1" applyFill="1" applyBorder="1" applyProtection="1">
      <protection locked="0"/>
    </xf>
    <xf numFmtId="178" fontId="16" fillId="0" borderId="79" xfId="0" applyNumberFormat="1" applyFont="1" applyFill="1" applyBorder="1" applyProtection="1">
      <protection locked="0"/>
    </xf>
    <xf numFmtId="178" fontId="16" fillId="0" borderId="104" xfId="0" applyNumberFormat="1" applyFont="1" applyFill="1" applyBorder="1" applyProtection="1">
      <protection locked="0"/>
    </xf>
    <xf numFmtId="0" fontId="18" fillId="0" borderId="3" xfId="0" applyNumberFormat="1" applyFont="1" applyFill="1" applyBorder="1" applyProtection="1"/>
    <xf numFmtId="0" fontId="21" fillId="0" borderId="42" xfId="0" applyNumberFormat="1" applyFont="1" applyFill="1" applyBorder="1" applyAlignment="1" applyProtection="1">
      <alignment horizontal="center"/>
    </xf>
    <xf numFmtId="0" fontId="16" fillId="0" borderId="52" xfId="0" applyNumberFormat="1" applyFont="1" applyFill="1" applyBorder="1" applyProtection="1"/>
    <xf numFmtId="0" fontId="14" fillId="0" borderId="53" xfId="0" applyNumberFormat="1" applyFont="1" applyFill="1" applyBorder="1" applyAlignment="1" applyProtection="1">
      <alignment horizontal="center"/>
    </xf>
    <xf numFmtId="0" fontId="20" fillId="0" borderId="0" xfId="0" applyFont="1" applyFill="1" applyBorder="1" applyAlignment="1" applyProtection="1">
      <alignment horizontal="left"/>
    </xf>
    <xf numFmtId="0" fontId="19" fillId="0" borderId="0" xfId="0" applyFont="1" applyFill="1" applyBorder="1" applyAlignment="1" applyProtection="1">
      <alignment horizontal="center"/>
    </xf>
    <xf numFmtId="172" fontId="17" fillId="0" borderId="0" xfId="0" applyNumberFormat="1" applyFont="1" applyFill="1" applyBorder="1" applyProtection="1">
      <protection locked="0"/>
    </xf>
    <xf numFmtId="0" fontId="17" fillId="0" borderId="0" xfId="0" applyFont="1" applyFill="1" applyBorder="1" applyProtection="1"/>
    <xf numFmtId="172" fontId="17" fillId="0" borderId="0" xfId="0" applyNumberFormat="1" applyFont="1" applyFill="1" applyBorder="1" applyProtection="1"/>
    <xf numFmtId="0" fontId="19" fillId="0" borderId="0" xfId="0" quotePrefix="1" applyFont="1" applyFill="1" applyBorder="1" applyProtection="1"/>
    <xf numFmtId="0" fontId="19" fillId="0" borderId="3" xfId="0" applyFont="1" applyFill="1" applyBorder="1" applyAlignment="1">
      <alignment horizontal="right"/>
    </xf>
    <xf numFmtId="0" fontId="19" fillId="0" borderId="0" xfId="0" applyFont="1" applyFill="1" applyBorder="1" applyAlignment="1">
      <alignment horizontal="center"/>
    </xf>
    <xf numFmtId="0" fontId="9" fillId="0" borderId="0" xfId="0" applyFont="1" applyFill="1"/>
    <xf numFmtId="0" fontId="16" fillId="0" borderId="43" xfId="0" applyFont="1" applyFill="1" applyBorder="1" applyAlignment="1" applyProtection="1">
      <alignment horizontal="center"/>
    </xf>
    <xf numFmtId="0" fontId="16" fillId="0" borderId="7" xfId="0" applyFont="1" applyFill="1" applyBorder="1" applyAlignment="1" applyProtection="1">
      <alignment horizontal="center"/>
    </xf>
    <xf numFmtId="0" fontId="16" fillId="0" borderId="12" xfId="0" applyFont="1" applyFill="1" applyBorder="1" applyAlignment="1" applyProtection="1">
      <alignment horizontal="center"/>
    </xf>
    <xf numFmtId="0" fontId="16" fillId="0" borderId="6" xfId="0" applyFont="1" applyFill="1" applyBorder="1" applyAlignment="1" applyProtection="1">
      <alignment horizontal="center"/>
    </xf>
    <xf numFmtId="0" fontId="16" fillId="0" borderId="45" xfId="0" applyFont="1" applyFill="1" applyBorder="1" applyAlignment="1" applyProtection="1">
      <alignment horizontal="center"/>
    </xf>
    <xf numFmtId="0" fontId="16" fillId="0" borderId="8" xfId="0" applyFont="1" applyFill="1" applyBorder="1" applyAlignment="1">
      <alignment horizontal="center"/>
    </xf>
    <xf numFmtId="0" fontId="16" fillId="0" borderId="1" xfId="0" applyFont="1" applyFill="1" applyBorder="1" applyAlignment="1">
      <alignment horizontal="center"/>
    </xf>
    <xf numFmtId="178" fontId="14" fillId="0" borderId="42" xfId="0" applyNumberFormat="1" applyFont="1" applyFill="1" applyBorder="1" applyAlignment="1" applyProtection="1">
      <alignment horizontal="right"/>
      <protection locked="0"/>
    </xf>
    <xf numFmtId="178" fontId="14" fillId="0" borderId="8" xfId="0" applyNumberFormat="1" applyFont="1" applyFill="1" applyBorder="1" applyAlignment="1" applyProtection="1">
      <alignment horizontal="right"/>
      <protection locked="0"/>
    </xf>
    <xf numFmtId="178" fontId="14" fillId="0" borderId="3" xfId="0" applyNumberFormat="1" applyFont="1" applyFill="1" applyBorder="1" applyAlignment="1" applyProtection="1">
      <alignment horizontal="right"/>
      <protection locked="0"/>
    </xf>
    <xf numFmtId="178" fontId="14" fillId="0" borderId="0" xfId="0" applyNumberFormat="1" applyFont="1" applyFill="1" applyBorder="1" applyAlignment="1" applyProtection="1">
      <alignment horizontal="right"/>
      <protection locked="0"/>
    </xf>
    <xf numFmtId="178" fontId="14" fillId="0" borderId="47" xfId="0" applyNumberFormat="1" applyFont="1" applyFill="1" applyBorder="1" applyAlignment="1" applyProtection="1">
      <alignment horizontal="right"/>
      <protection locked="0"/>
    </xf>
    <xf numFmtId="178" fontId="16" fillId="0" borderId="46" xfId="0" applyNumberFormat="1" applyFont="1" applyFill="1" applyBorder="1" applyAlignment="1" applyProtection="1">
      <alignment horizontal="right"/>
    </xf>
    <xf numFmtId="178" fontId="16" fillId="0" borderId="49" xfId="0" applyNumberFormat="1" applyFont="1" applyFill="1" applyBorder="1" applyAlignment="1" applyProtection="1">
      <alignment horizontal="right"/>
    </xf>
    <xf numFmtId="178" fontId="16" fillId="0" borderId="50" xfId="0" applyNumberFormat="1" applyFont="1" applyFill="1" applyBorder="1" applyAlignment="1" applyProtection="1">
      <alignment horizontal="right"/>
    </xf>
    <xf numFmtId="178" fontId="16" fillId="0" borderId="48" xfId="0" applyNumberFormat="1" applyFont="1" applyFill="1" applyBorder="1" applyAlignment="1" applyProtection="1">
      <alignment horizontal="right"/>
    </xf>
    <xf numFmtId="178" fontId="16" fillId="0" borderId="51" xfId="0" applyNumberFormat="1" applyFont="1" applyFill="1" applyBorder="1" applyAlignment="1" applyProtection="1">
      <alignment horizontal="right"/>
    </xf>
    <xf numFmtId="172" fontId="16" fillId="0" borderId="34" xfId="0" applyNumberFormat="1" applyFont="1" applyFill="1" applyBorder="1"/>
    <xf numFmtId="172" fontId="16" fillId="0" borderId="2" xfId="0" applyNumberFormat="1" applyFont="1" applyFill="1" applyBorder="1"/>
    <xf numFmtId="178" fontId="14" fillId="0" borderId="43" xfId="0" applyNumberFormat="1" applyFont="1" applyFill="1" applyBorder="1" applyProtection="1"/>
    <xf numFmtId="178" fontId="14" fillId="0" borderId="7" xfId="0" applyNumberFormat="1" applyFont="1" applyFill="1" applyBorder="1" applyProtection="1"/>
    <xf numFmtId="178" fontId="14" fillId="0" borderId="12" xfId="0" applyNumberFormat="1" applyFont="1" applyFill="1" applyBorder="1" applyProtection="1"/>
    <xf numFmtId="178" fontId="14" fillId="0" borderId="6" xfId="0" applyNumberFormat="1" applyFont="1" applyFill="1" applyBorder="1" applyProtection="1"/>
    <xf numFmtId="178" fontId="14" fillId="0" borderId="45" xfId="0" applyNumberFormat="1" applyFont="1" applyFill="1" applyBorder="1" applyProtection="1"/>
    <xf numFmtId="178" fontId="16" fillId="0" borderId="42" xfId="0" applyNumberFormat="1" applyFont="1" applyFill="1" applyBorder="1" applyAlignment="1" applyProtection="1">
      <alignment horizontal="right"/>
    </xf>
    <xf numFmtId="178" fontId="16" fillId="0" borderId="8" xfId="0" applyNumberFormat="1" applyFont="1" applyFill="1" applyBorder="1" applyAlignment="1" applyProtection="1">
      <alignment horizontal="right"/>
    </xf>
    <xf numFmtId="178" fontId="16" fillId="0" borderId="3" xfId="0" applyNumberFormat="1" applyFont="1" applyFill="1" applyBorder="1" applyAlignment="1" applyProtection="1">
      <alignment horizontal="right"/>
    </xf>
    <xf numFmtId="178" fontId="16" fillId="0" borderId="0" xfId="0" applyNumberFormat="1" applyFont="1" applyFill="1" applyBorder="1" applyAlignment="1" applyProtection="1">
      <alignment horizontal="right"/>
    </xf>
    <xf numFmtId="178" fontId="16" fillId="0" borderId="47" xfId="0" applyNumberFormat="1" applyFont="1" applyFill="1" applyBorder="1" applyAlignment="1" applyProtection="1">
      <alignment horizontal="right"/>
    </xf>
    <xf numFmtId="172" fontId="16" fillId="0" borderId="8" xfId="0" applyNumberFormat="1" applyFont="1" applyFill="1" applyBorder="1"/>
    <xf numFmtId="172" fontId="16" fillId="0" borderId="1" xfId="0" applyNumberFormat="1" applyFont="1" applyFill="1" applyBorder="1"/>
    <xf numFmtId="172" fontId="16" fillId="0" borderId="57" xfId="0" applyNumberFormat="1" applyFont="1" applyFill="1" applyBorder="1"/>
    <xf numFmtId="172" fontId="16" fillId="0" borderId="58" xfId="0" applyNumberFormat="1" applyFont="1" applyFill="1" applyBorder="1"/>
    <xf numFmtId="0" fontId="16" fillId="0" borderId="0" xfId="0" applyFont="1" applyFill="1" applyBorder="1" applyProtection="1">
      <protection locked="0"/>
    </xf>
    <xf numFmtId="0" fontId="19" fillId="0" borderId="0" xfId="0" applyFont="1" applyFill="1" applyBorder="1" applyAlignment="1" applyProtection="1">
      <alignment horizontal="right"/>
      <protection locked="0"/>
    </xf>
    <xf numFmtId="168" fontId="14" fillId="0" borderId="0" xfId="1" applyNumberFormat="1" applyFont="1" applyFill="1" applyProtection="1">
      <protection locked="0"/>
    </xf>
    <xf numFmtId="168" fontId="14" fillId="0" borderId="0" xfId="1" applyNumberFormat="1" applyFont="1" applyFill="1" applyProtection="1"/>
    <xf numFmtId="172" fontId="16" fillId="0" borderId="7" xfId="0" applyNumberFormat="1" applyFont="1" applyFill="1" applyBorder="1" applyAlignment="1">
      <alignment horizontal="center"/>
    </xf>
    <xf numFmtId="0" fontId="16" fillId="0" borderId="45" xfId="0" applyFont="1" applyFill="1" applyBorder="1" applyAlignment="1">
      <alignment horizontal="center"/>
    </xf>
    <xf numFmtId="178" fontId="14" fillId="0" borderId="42" xfId="1" applyNumberFormat="1" applyFont="1" applyFill="1" applyBorder="1" applyProtection="1">
      <protection locked="0"/>
    </xf>
    <xf numFmtId="178" fontId="14" fillId="0" borderId="8" xfId="1" applyNumberFormat="1" applyFont="1" applyFill="1" applyBorder="1" applyProtection="1">
      <protection locked="0"/>
    </xf>
    <xf numFmtId="178" fontId="14" fillId="0" borderId="3" xfId="1" applyNumberFormat="1" applyFont="1" applyFill="1" applyBorder="1" applyProtection="1">
      <protection locked="0"/>
    </xf>
    <xf numFmtId="178" fontId="14" fillId="0" borderId="47" xfId="1" applyNumberFormat="1" applyFont="1" applyFill="1" applyBorder="1" applyProtection="1">
      <protection locked="0"/>
    </xf>
    <xf numFmtId="178" fontId="16" fillId="0" borderId="60" xfId="0" applyNumberFormat="1" applyFont="1" applyFill="1" applyBorder="1" applyAlignment="1">
      <alignment vertical="top"/>
    </xf>
    <xf numFmtId="178" fontId="16" fillId="0" borderId="61" xfId="0" applyNumberFormat="1" applyFont="1" applyFill="1" applyBorder="1" applyAlignment="1">
      <alignment vertical="top"/>
    </xf>
    <xf numFmtId="178" fontId="16" fillId="0" borderId="62" xfId="0" applyNumberFormat="1" applyFont="1" applyFill="1" applyBorder="1" applyAlignment="1">
      <alignment vertical="top"/>
    </xf>
    <xf numFmtId="178" fontId="16" fillId="0" borderId="63" xfId="0" applyNumberFormat="1" applyFont="1" applyFill="1" applyBorder="1" applyAlignment="1">
      <alignment vertical="top"/>
    </xf>
    <xf numFmtId="178" fontId="16" fillId="0" borderId="3" xfId="1" applyNumberFormat="1" applyFont="1" applyFill="1" applyBorder="1" applyProtection="1">
      <protection locked="0"/>
    </xf>
    <xf numFmtId="178" fontId="16" fillId="0" borderId="42" xfId="1" applyNumberFormat="1" applyFont="1" applyFill="1" applyBorder="1" applyProtection="1">
      <protection locked="0"/>
    </xf>
    <xf numFmtId="178" fontId="16" fillId="0" borderId="8" xfId="1" applyNumberFormat="1" applyFont="1" applyFill="1" applyBorder="1" applyProtection="1">
      <protection locked="0"/>
    </xf>
    <xf numFmtId="178" fontId="16" fillId="0" borderId="47" xfId="1" applyNumberFormat="1" applyFont="1" applyFill="1" applyBorder="1" applyProtection="1">
      <protection locked="0"/>
    </xf>
    <xf numFmtId="178" fontId="16" fillId="0" borderId="46" xfId="0" applyNumberFormat="1" applyFont="1" applyFill="1" applyBorder="1" applyAlignment="1">
      <alignment vertical="top"/>
    </xf>
    <xf numFmtId="178" fontId="16" fillId="0" borderId="49" xfId="0" applyNumberFormat="1" applyFont="1" applyFill="1" applyBorder="1" applyAlignment="1">
      <alignment vertical="top"/>
    </xf>
    <xf numFmtId="178" fontId="16" fillId="0" borderId="50" xfId="0" applyNumberFormat="1" applyFont="1" applyFill="1" applyBorder="1" applyAlignment="1">
      <alignment vertical="top"/>
    </xf>
    <xf numFmtId="178" fontId="16" fillId="0" borderId="51" xfId="0" applyNumberFormat="1" applyFont="1" applyFill="1" applyBorder="1" applyAlignment="1">
      <alignment vertical="top"/>
    </xf>
    <xf numFmtId="172" fontId="14" fillId="0" borderId="0" xfId="0" applyNumberFormat="1" applyFont="1" applyFill="1" applyBorder="1" applyProtection="1"/>
    <xf numFmtId="178" fontId="16" fillId="0" borderId="0" xfId="0" applyNumberFormat="1" applyFont="1" applyFill="1" applyBorder="1" applyAlignment="1">
      <alignment horizontal="center"/>
    </xf>
    <xf numFmtId="167" fontId="14" fillId="0" borderId="0" xfId="0" applyNumberFormat="1" applyFont="1" applyFill="1" applyAlignment="1">
      <alignment horizontal="right"/>
    </xf>
    <xf numFmtId="178" fontId="14" fillId="0" borderId="3" xfId="1" applyNumberFormat="1" applyFont="1" applyFill="1" applyBorder="1" applyAlignment="1">
      <alignment horizontal="right"/>
    </xf>
    <xf numFmtId="178" fontId="14" fillId="0" borderId="8" xfId="1" applyNumberFormat="1" applyFont="1" applyFill="1" applyBorder="1" applyAlignment="1">
      <alignment horizontal="right"/>
    </xf>
    <xf numFmtId="178" fontId="14" fillId="0" borderId="42" xfId="0" applyNumberFormat="1" applyFont="1" applyFill="1" applyBorder="1" applyAlignment="1">
      <alignment horizontal="center"/>
    </xf>
    <xf numFmtId="178" fontId="16" fillId="0" borderId="53" xfId="0" applyNumberFormat="1" applyFont="1" applyFill="1" applyBorder="1" applyAlignment="1">
      <alignment horizontal="center"/>
    </xf>
    <xf numFmtId="178" fontId="16" fillId="0" borderId="55" xfId="0" applyNumberFormat="1" applyFont="1" applyFill="1" applyBorder="1" applyAlignment="1">
      <alignment horizontal="right"/>
    </xf>
    <xf numFmtId="178" fontId="16" fillId="0" borderId="52" xfId="0" applyNumberFormat="1" applyFont="1" applyFill="1" applyBorder="1" applyAlignment="1">
      <alignment horizontal="right"/>
    </xf>
    <xf numFmtId="178" fontId="16" fillId="0" borderId="53" xfId="0" applyNumberFormat="1" applyFont="1" applyFill="1" applyBorder="1" applyAlignment="1">
      <alignment horizontal="right"/>
    </xf>
    <xf numFmtId="178" fontId="16" fillId="0" borderId="54" xfId="0" applyNumberFormat="1" applyFont="1" applyFill="1" applyBorder="1" applyAlignment="1">
      <alignment horizontal="right"/>
    </xf>
    <xf numFmtId="178" fontId="14" fillId="0" borderId="47" xfId="0" applyNumberFormat="1" applyFont="1" applyFill="1" applyBorder="1" applyAlignment="1">
      <alignment horizontal="right"/>
    </xf>
    <xf numFmtId="178" fontId="14" fillId="0" borderId="76" xfId="0" applyNumberFormat="1" applyFont="1" applyFill="1" applyBorder="1" applyAlignment="1">
      <alignment horizontal="right"/>
    </xf>
    <xf numFmtId="178" fontId="14" fillId="0" borderId="76" xfId="1" applyNumberFormat="1" applyFont="1" applyFill="1" applyBorder="1" applyProtection="1">
      <protection locked="0"/>
    </xf>
    <xf numFmtId="178" fontId="16" fillId="0" borderId="42" xfId="0" applyNumberFormat="1" applyFont="1" applyFill="1" applyBorder="1" applyProtection="1">
      <protection locked="0"/>
    </xf>
    <xf numFmtId="178" fontId="16" fillId="0" borderId="8" xfId="0" applyNumberFormat="1" applyFont="1" applyFill="1" applyBorder="1" applyProtection="1">
      <protection locked="0"/>
    </xf>
    <xf numFmtId="178" fontId="16" fillId="0" borderId="3" xfId="0" applyNumberFormat="1" applyFont="1" applyFill="1" applyBorder="1" applyProtection="1">
      <protection locked="0"/>
    </xf>
    <xf numFmtId="178" fontId="16" fillId="0" borderId="70" xfId="0" applyNumberFormat="1" applyFont="1" applyFill="1" applyBorder="1" applyProtection="1">
      <protection locked="0"/>
    </xf>
    <xf numFmtId="178" fontId="16" fillId="0" borderId="71" xfId="0" applyNumberFormat="1" applyFont="1" applyFill="1" applyBorder="1" applyProtection="1">
      <protection locked="0"/>
    </xf>
    <xf numFmtId="178" fontId="16" fillId="0" borderId="97" xfId="0" applyNumberFormat="1" applyFont="1" applyFill="1" applyBorder="1" applyProtection="1">
      <protection locked="0"/>
    </xf>
    <xf numFmtId="0" fontId="19" fillId="0" borderId="0" xfId="0" quotePrefix="1" applyFont="1" applyFill="1" applyBorder="1" applyAlignment="1" applyProtection="1">
      <alignment horizontal="left" wrapText="1"/>
    </xf>
    <xf numFmtId="169" fontId="19" fillId="0" borderId="0" xfId="1" applyNumberFormat="1" applyFont="1" applyFill="1" applyBorder="1" applyAlignment="1">
      <alignment horizontal="right"/>
    </xf>
    <xf numFmtId="178" fontId="16" fillId="0" borderId="45" xfId="0" applyNumberFormat="1" applyFont="1" applyFill="1" applyBorder="1" applyAlignment="1">
      <alignment horizontal="center"/>
    </xf>
    <xf numFmtId="178" fontId="16" fillId="0" borderId="75" xfId="0" applyNumberFormat="1" applyFont="1" applyFill="1" applyBorder="1" applyAlignment="1">
      <alignment horizontal="center"/>
    </xf>
    <xf numFmtId="178" fontId="16" fillId="0" borderId="11" xfId="0" applyNumberFormat="1" applyFont="1" applyFill="1" applyBorder="1" applyAlignment="1">
      <alignment horizontal="center"/>
    </xf>
    <xf numFmtId="178" fontId="16" fillId="0" borderId="47" xfId="0" applyNumberFormat="1" applyFont="1" applyFill="1" applyBorder="1" applyAlignment="1">
      <alignment horizontal="center"/>
    </xf>
    <xf numFmtId="178" fontId="16" fillId="0" borderId="76" xfId="0" applyNumberFormat="1" applyFont="1" applyFill="1" applyBorder="1" applyAlignment="1">
      <alignment horizontal="center"/>
    </xf>
    <xf numFmtId="178" fontId="16" fillId="0" borderId="1" xfId="0" applyNumberFormat="1" applyFont="1" applyFill="1" applyBorder="1" applyAlignment="1">
      <alignment horizontal="center"/>
    </xf>
    <xf numFmtId="178" fontId="16" fillId="0" borderId="67" xfId="0" applyNumberFormat="1" applyFont="1" applyFill="1" applyBorder="1" applyAlignment="1">
      <alignment horizontal="right"/>
    </xf>
    <xf numFmtId="178" fontId="16" fillId="0" borderId="1" xfId="0" applyNumberFormat="1" applyFont="1" applyFill="1" applyBorder="1" applyAlignment="1">
      <alignment horizontal="right"/>
    </xf>
    <xf numFmtId="0" fontId="14" fillId="0" borderId="0" xfId="0" applyFont="1" applyFill="1" applyAlignment="1">
      <alignment horizontal="left"/>
    </xf>
    <xf numFmtId="178" fontId="14" fillId="0" borderId="76" xfId="0" applyNumberFormat="1" applyFont="1" applyFill="1" applyBorder="1" applyAlignment="1" applyProtection="1">
      <alignment horizontal="right"/>
      <protection locked="0"/>
    </xf>
    <xf numFmtId="167" fontId="14" fillId="0" borderId="0" xfId="0" applyNumberFormat="1" applyFont="1" applyFill="1" applyAlignment="1">
      <alignment horizontal="left"/>
    </xf>
    <xf numFmtId="178" fontId="16" fillId="0" borderId="99" xfId="0" applyNumberFormat="1" applyFont="1" applyFill="1" applyBorder="1" applyAlignment="1">
      <alignment horizontal="right"/>
    </xf>
    <xf numFmtId="178" fontId="16" fillId="0" borderId="3" xfId="1" applyNumberFormat="1" applyFont="1" applyFill="1" applyBorder="1" applyAlignment="1">
      <alignment horizontal="right"/>
    </xf>
    <xf numFmtId="178" fontId="16" fillId="0" borderId="8" xfId="1" applyNumberFormat="1" applyFont="1" applyFill="1" applyBorder="1" applyAlignment="1">
      <alignment horizontal="right"/>
    </xf>
    <xf numFmtId="178" fontId="16" fillId="0" borderId="104" xfId="0" applyNumberFormat="1" applyFont="1" applyFill="1" applyBorder="1" applyAlignment="1">
      <alignment horizontal="right"/>
    </xf>
    <xf numFmtId="178" fontId="16" fillId="0" borderId="80" xfId="0" applyNumberFormat="1" applyFont="1" applyFill="1" applyBorder="1" applyAlignment="1">
      <alignment horizontal="right"/>
    </xf>
    <xf numFmtId="178" fontId="16" fillId="0" borderId="44" xfId="0" applyNumberFormat="1" applyFont="1" applyFill="1" applyBorder="1" applyAlignment="1">
      <alignment horizontal="right"/>
    </xf>
    <xf numFmtId="178" fontId="14" fillId="0" borderId="36" xfId="1" applyNumberFormat="1" applyFont="1" applyFill="1" applyBorder="1"/>
    <xf numFmtId="178" fontId="14" fillId="0" borderId="9" xfId="0" applyNumberFormat="1" applyFont="1" applyFill="1" applyBorder="1"/>
    <xf numFmtId="178" fontId="16" fillId="0" borderId="84" xfId="0" applyNumberFormat="1" applyFont="1" applyFill="1" applyBorder="1" applyAlignment="1">
      <alignment horizontal="right"/>
    </xf>
    <xf numFmtId="178" fontId="16" fillId="0" borderId="88" xfId="0" applyNumberFormat="1" applyFont="1" applyFill="1" applyBorder="1" applyAlignment="1">
      <alignment horizontal="right"/>
    </xf>
    <xf numFmtId="178" fontId="16" fillId="0" borderId="74" xfId="0" applyNumberFormat="1" applyFont="1" applyFill="1" applyBorder="1" applyAlignment="1">
      <alignment horizontal="right"/>
    </xf>
    <xf numFmtId="178" fontId="16" fillId="0" borderId="35" xfId="0" applyNumberFormat="1" applyFont="1" applyFill="1" applyBorder="1"/>
    <xf numFmtId="178" fontId="16" fillId="0" borderId="17" xfId="0" applyNumberFormat="1" applyFont="1" applyFill="1" applyBorder="1"/>
    <xf numFmtId="178" fontId="16" fillId="0" borderId="74" xfId="0" applyNumberFormat="1" applyFont="1" applyFill="1" applyBorder="1"/>
    <xf numFmtId="178" fontId="16" fillId="0" borderId="34" xfId="0" applyNumberFormat="1" applyFont="1" applyFill="1" applyBorder="1"/>
    <xf numFmtId="178" fontId="16" fillId="0" borderId="51" xfId="117" applyNumberFormat="1" applyFont="1" applyFill="1" applyBorder="1"/>
    <xf numFmtId="167" fontId="14" fillId="0" borderId="0" xfId="1" applyFont="1" applyFill="1" applyBorder="1" applyProtection="1"/>
    <xf numFmtId="178" fontId="16" fillId="0" borderId="47" xfId="0" applyNumberFormat="1" applyFont="1" applyFill="1" applyBorder="1" applyProtection="1">
      <protection locked="0"/>
    </xf>
    <xf numFmtId="178" fontId="16" fillId="0" borderId="43" xfId="0" applyNumberFormat="1" applyFont="1" applyFill="1" applyBorder="1"/>
    <xf numFmtId="178" fontId="16" fillId="0" borderId="7" xfId="0" applyNumberFormat="1" applyFont="1" applyFill="1" applyBorder="1"/>
    <xf numFmtId="178" fontId="16" fillId="0" borderId="12" xfId="0" applyNumberFormat="1" applyFont="1" applyFill="1" applyBorder="1"/>
    <xf numFmtId="178" fontId="16" fillId="0" borderId="45" xfId="0" applyNumberFormat="1" applyFont="1" applyFill="1" applyBorder="1"/>
    <xf numFmtId="172" fontId="16" fillId="0" borderId="36" xfId="0" applyNumberFormat="1" applyFont="1" applyFill="1" applyBorder="1"/>
    <xf numFmtId="172" fontId="16" fillId="0" borderId="10" xfId="0" applyNumberFormat="1" applyFont="1" applyFill="1" applyBorder="1"/>
    <xf numFmtId="172" fontId="16" fillId="0" borderId="4" xfId="0" applyNumberFormat="1" applyFont="1" applyFill="1" applyBorder="1"/>
    <xf numFmtId="172" fontId="16" fillId="0" borderId="9" xfId="0" applyNumberFormat="1" applyFont="1" applyFill="1" applyBorder="1"/>
    <xf numFmtId="172" fontId="16" fillId="0" borderId="64" xfId="0" applyNumberFormat="1" applyFont="1" applyFill="1" applyBorder="1"/>
    <xf numFmtId="179" fontId="14" fillId="0" borderId="42" xfId="0" applyNumberFormat="1" applyFont="1" applyFill="1" applyBorder="1" applyProtection="1">
      <protection locked="0"/>
    </xf>
    <xf numFmtId="179" fontId="14" fillId="0" borderId="8" xfId="0" applyNumberFormat="1" applyFont="1" applyFill="1" applyBorder="1" applyProtection="1">
      <protection locked="0"/>
    </xf>
    <xf numFmtId="179" fontId="14" fillId="0" borderId="3" xfId="0" applyNumberFormat="1" applyFont="1" applyFill="1" applyBorder="1" applyProtection="1">
      <protection locked="0"/>
    </xf>
    <xf numFmtId="179" fontId="14" fillId="0" borderId="47" xfId="0" applyNumberFormat="1" applyFont="1" applyFill="1" applyBorder="1" applyProtection="1">
      <protection locked="0"/>
    </xf>
    <xf numFmtId="3" fontId="14" fillId="0" borderId="3" xfId="0" applyNumberFormat="1" applyFont="1" applyFill="1" applyBorder="1" applyProtection="1">
      <protection locked="0"/>
    </xf>
    <xf numFmtId="179" fontId="14" fillId="0" borderId="71" xfId="0" applyNumberFormat="1" applyFont="1" applyFill="1" applyBorder="1" applyProtection="1">
      <protection locked="0"/>
    </xf>
    <xf numFmtId="179" fontId="14" fillId="0" borderId="76" xfId="0" applyNumberFormat="1" applyFont="1" applyFill="1" applyBorder="1" applyProtection="1">
      <protection locked="0"/>
    </xf>
    <xf numFmtId="179" fontId="14" fillId="0" borderId="70" xfId="0" applyNumberFormat="1" applyFont="1" applyFill="1" applyBorder="1" applyProtection="1">
      <protection locked="0"/>
    </xf>
    <xf numFmtId="179" fontId="14" fillId="0" borderId="3" xfId="1" applyNumberFormat="1" applyFont="1" applyFill="1" applyBorder="1" applyProtection="1">
      <protection locked="0"/>
    </xf>
    <xf numFmtId="179" fontId="14" fillId="0" borderId="8" xfId="1" applyNumberFormat="1" applyFont="1" applyFill="1" applyBorder="1" applyProtection="1">
      <protection locked="0"/>
    </xf>
    <xf numFmtId="179" fontId="14" fillId="0" borderId="47" xfId="1" applyNumberFormat="1" applyFont="1" applyFill="1" applyBorder="1" applyProtection="1">
      <protection locked="0"/>
    </xf>
    <xf numFmtId="179" fontId="14" fillId="0" borderId="72" xfId="0" applyNumberFormat="1" applyFont="1" applyFill="1" applyBorder="1" applyProtection="1">
      <protection locked="0"/>
    </xf>
    <xf numFmtId="179" fontId="14" fillId="0" borderId="68" xfId="1" applyNumberFormat="1" applyFont="1" applyFill="1" applyBorder="1" applyProtection="1">
      <protection locked="0"/>
    </xf>
    <xf numFmtId="179" fontId="14" fillId="0" borderId="71" xfId="1" applyNumberFormat="1" applyFont="1" applyFill="1" applyBorder="1" applyProtection="1">
      <protection locked="0"/>
    </xf>
    <xf numFmtId="179" fontId="14" fillId="0" borderId="73" xfId="1" applyNumberFormat="1" applyFont="1" applyFill="1" applyBorder="1" applyProtection="1">
      <protection locked="0"/>
    </xf>
    <xf numFmtId="0" fontId="14" fillId="0" borderId="43" xfId="0" applyFont="1" applyFill="1" applyBorder="1" applyAlignment="1">
      <alignment horizontal="center"/>
    </xf>
    <xf numFmtId="172" fontId="14" fillId="0" borderId="43" xfId="0" applyNumberFormat="1" applyFont="1" applyFill="1" applyBorder="1"/>
    <xf numFmtId="172" fontId="14" fillId="0" borderId="45" xfId="0" applyNumberFormat="1" applyFont="1" applyFill="1" applyBorder="1"/>
    <xf numFmtId="172" fontId="14" fillId="0" borderId="47" xfId="0" applyNumberFormat="1" applyFont="1" applyFill="1" applyBorder="1"/>
    <xf numFmtId="172" fontId="14" fillId="0" borderId="42" xfId="0" applyNumberFormat="1" applyFont="1" applyFill="1" applyBorder="1" applyProtection="1">
      <protection locked="0"/>
    </xf>
    <xf numFmtId="172" fontId="14" fillId="0" borderId="8" xfId="0" applyNumberFormat="1" applyFont="1" applyFill="1" applyBorder="1" applyProtection="1">
      <protection locked="0"/>
    </xf>
    <xf numFmtId="172" fontId="14" fillId="0" borderId="3" xfId="0" applyNumberFormat="1" applyFont="1" applyFill="1" applyBorder="1" applyProtection="1">
      <protection locked="0"/>
    </xf>
    <xf numFmtId="172" fontId="14" fillId="0" borderId="47" xfId="0" applyNumberFormat="1" applyFont="1" applyFill="1" applyBorder="1" applyProtection="1">
      <protection locked="0"/>
    </xf>
    <xf numFmtId="172" fontId="14" fillId="0" borderId="71" xfId="0" applyNumberFormat="1" applyFont="1" applyFill="1" applyBorder="1" applyProtection="1">
      <protection locked="0"/>
    </xf>
    <xf numFmtId="172" fontId="14" fillId="0" borderId="72" xfId="0" applyNumberFormat="1" applyFont="1" applyFill="1" applyBorder="1" applyProtection="1">
      <protection locked="0"/>
    </xf>
    <xf numFmtId="172" fontId="14" fillId="0" borderId="68" xfId="0" applyNumberFormat="1" applyFont="1" applyFill="1" applyBorder="1" applyProtection="1">
      <protection locked="0"/>
    </xf>
    <xf numFmtId="172" fontId="14" fillId="0" borderId="73" xfId="0" applyNumberFormat="1" applyFont="1" applyFill="1" applyBorder="1" applyProtection="1">
      <protection locked="0"/>
    </xf>
    <xf numFmtId="172" fontId="16" fillId="0" borderId="3" xfId="0" applyNumberFormat="1" applyFont="1" applyFill="1" applyBorder="1"/>
    <xf numFmtId="172" fontId="16" fillId="0" borderId="47" xfId="0" applyNumberFormat="1" applyFont="1" applyFill="1" applyBorder="1"/>
    <xf numFmtId="172" fontId="16" fillId="0" borderId="42" xfId="0" applyNumberFormat="1" applyFont="1" applyFill="1" applyBorder="1" applyProtection="1">
      <protection locked="0"/>
    </xf>
    <xf numFmtId="172" fontId="16" fillId="0" borderId="8" xfId="0" applyNumberFormat="1" applyFont="1" applyFill="1" applyBorder="1" applyProtection="1">
      <protection locked="0"/>
    </xf>
    <xf numFmtId="172" fontId="16" fillId="0" borderId="3" xfId="0" applyNumberFormat="1" applyFont="1" applyFill="1" applyBorder="1" applyProtection="1">
      <protection locked="0"/>
    </xf>
    <xf numFmtId="172" fontId="16" fillId="0" borderId="47" xfId="0" applyNumberFormat="1" applyFont="1" applyFill="1" applyBorder="1" applyProtection="1">
      <protection locked="0"/>
    </xf>
    <xf numFmtId="172" fontId="14" fillId="0" borderId="70" xfId="0" applyNumberFormat="1" applyFont="1" applyFill="1" applyBorder="1" applyProtection="1">
      <protection locked="0"/>
    </xf>
    <xf numFmtId="0" fontId="19" fillId="0" borderId="3" xfId="0" applyFont="1" applyFill="1" applyBorder="1" applyAlignment="1" applyProtection="1">
      <alignment horizontal="left" indent="1"/>
      <protection locked="0"/>
    </xf>
    <xf numFmtId="0" fontId="14" fillId="0" borderId="3" xfId="0" applyFont="1" applyFill="1" applyBorder="1" applyAlignment="1" applyProtection="1">
      <alignment horizontal="left" indent="1"/>
      <protection locked="0"/>
    </xf>
    <xf numFmtId="0" fontId="14" fillId="0" borderId="46" xfId="0" applyFont="1" applyFill="1" applyBorder="1" applyAlignment="1">
      <alignment horizontal="center"/>
    </xf>
    <xf numFmtId="0" fontId="17" fillId="0" borderId="3" xfId="0" applyFont="1" applyFill="1" applyBorder="1" applyAlignment="1">
      <alignment horizontal="right"/>
    </xf>
    <xf numFmtId="0" fontId="17" fillId="0" borderId="3" xfId="0" applyFont="1" applyFill="1" applyBorder="1" applyAlignment="1">
      <alignment horizontal="right" indent="1"/>
    </xf>
    <xf numFmtId="0" fontId="16" fillId="0" borderId="3" xfId="0" applyFont="1" applyFill="1" applyBorder="1" applyAlignment="1"/>
    <xf numFmtId="0" fontId="21" fillId="0" borderId="42" xfId="0" applyFont="1" applyFill="1" applyBorder="1" applyAlignment="1">
      <alignment horizontal="center"/>
    </xf>
    <xf numFmtId="0" fontId="16" fillId="0" borderId="4" xfId="0" applyFont="1" applyFill="1" applyBorder="1"/>
    <xf numFmtId="0" fontId="14" fillId="0" borderId="36" xfId="0" applyFont="1" applyFill="1" applyBorder="1" applyAlignment="1">
      <alignment horizontal="center"/>
    </xf>
    <xf numFmtId="0" fontId="16" fillId="0" borderId="12" xfId="0" applyFont="1" applyFill="1" applyBorder="1" applyAlignment="1">
      <alignment wrapText="1"/>
    </xf>
    <xf numFmtId="0" fontId="14" fillId="0" borderId="103" xfId="0" applyFont="1" applyFill="1" applyBorder="1" applyAlignment="1">
      <alignment horizontal="center"/>
    </xf>
    <xf numFmtId="0" fontId="14" fillId="0" borderId="103" xfId="0" applyFont="1" applyFill="1" applyBorder="1"/>
    <xf numFmtId="0" fontId="14" fillId="0" borderId="43" xfId="0" applyFont="1" applyFill="1" applyBorder="1"/>
    <xf numFmtId="0" fontId="14" fillId="0" borderId="75" xfId="0" applyFont="1" applyFill="1" applyBorder="1"/>
    <xf numFmtId="0" fontId="14" fillId="0" borderId="11" xfId="0" applyFont="1" applyFill="1" applyBorder="1"/>
    <xf numFmtId="0" fontId="14" fillId="0" borderId="99" xfId="0" applyFont="1" applyFill="1" applyBorder="1"/>
    <xf numFmtId="178" fontId="14" fillId="0" borderId="1" xfId="0" applyNumberFormat="1" applyFont="1" applyFill="1" applyBorder="1" applyProtection="1">
      <protection locked="0"/>
    </xf>
    <xf numFmtId="178" fontId="14" fillId="0" borderId="107" xfId="0" applyNumberFormat="1" applyFont="1" applyFill="1" applyBorder="1" applyProtection="1">
      <protection locked="0"/>
    </xf>
    <xf numFmtId="178" fontId="14" fillId="0" borderId="71" xfId="0" applyNumberFormat="1" applyFont="1" applyFill="1" applyBorder="1" applyProtection="1">
      <protection locked="0"/>
    </xf>
    <xf numFmtId="178" fontId="14" fillId="0" borderId="97" xfId="0" applyNumberFormat="1" applyFont="1" applyFill="1" applyBorder="1" applyProtection="1">
      <protection locked="0"/>
    </xf>
    <xf numFmtId="178" fontId="14" fillId="0" borderId="98" xfId="0" applyNumberFormat="1" applyFont="1" applyFill="1" applyBorder="1" applyProtection="1">
      <protection locked="0"/>
    </xf>
    <xf numFmtId="0" fontId="14" fillId="0" borderId="93" xfId="0" applyFont="1" applyFill="1" applyBorder="1" applyAlignment="1">
      <alignment horizontal="center"/>
    </xf>
    <xf numFmtId="178" fontId="14" fillId="0" borderId="93" xfId="0" applyNumberFormat="1" applyFont="1" applyFill="1" applyBorder="1"/>
    <xf numFmtId="178" fontId="14" fillId="0" borderId="77" xfId="0" applyNumberFormat="1" applyFont="1" applyFill="1" applyBorder="1"/>
    <xf numFmtId="0" fontId="20" fillId="0" borderId="0" xfId="0" applyFont="1" applyFill="1" applyBorder="1" applyProtection="1"/>
    <xf numFmtId="178" fontId="16" fillId="0" borderId="53" xfId="0" applyNumberFormat="1" applyFont="1" applyFill="1" applyBorder="1" applyAlignment="1">
      <alignment vertical="top"/>
    </xf>
    <xf numFmtId="168" fontId="14" fillId="0" borderId="0" xfId="1" applyNumberFormat="1" applyFont="1" applyFill="1"/>
    <xf numFmtId="178" fontId="14" fillId="0" borderId="43" xfId="0" applyNumberFormat="1" applyFont="1" applyFill="1" applyBorder="1"/>
    <xf numFmtId="178" fontId="14" fillId="0" borderId="43" xfId="0" applyNumberFormat="1" applyFont="1" applyFill="1" applyBorder="1" applyProtection="1">
      <protection locked="0"/>
    </xf>
    <xf numFmtId="178" fontId="14" fillId="0" borderId="7" xfId="0" applyNumberFormat="1" applyFont="1" applyFill="1" applyBorder="1" applyProtection="1">
      <protection locked="0"/>
    </xf>
    <xf numFmtId="178" fontId="14" fillId="0" borderId="12" xfId="0" applyNumberFormat="1" applyFont="1" applyFill="1" applyBorder="1" applyProtection="1">
      <protection locked="0"/>
    </xf>
    <xf numFmtId="178" fontId="14" fillId="0" borderId="6" xfId="0" applyNumberFormat="1" applyFont="1" applyFill="1" applyBorder="1" applyProtection="1">
      <protection locked="0"/>
    </xf>
    <xf numFmtId="178" fontId="14" fillId="0" borderId="45" xfId="0" applyNumberFormat="1" applyFont="1" applyFill="1" applyBorder="1" applyProtection="1">
      <protection locked="0"/>
    </xf>
    <xf numFmtId="178" fontId="14" fillId="0" borderId="36" xfId="0" applyNumberFormat="1" applyFont="1" applyFill="1" applyBorder="1" applyProtection="1">
      <protection locked="0"/>
    </xf>
    <xf numFmtId="178" fontId="14" fillId="0" borderId="10" xfId="0" applyNumberFormat="1" applyFont="1" applyFill="1" applyBorder="1" applyProtection="1">
      <protection locked="0"/>
    </xf>
    <xf numFmtId="178" fontId="14" fillId="0" borderId="4" xfId="0" applyNumberFormat="1" applyFont="1" applyFill="1" applyBorder="1" applyProtection="1">
      <protection locked="0"/>
    </xf>
    <xf numFmtId="178" fontId="14" fillId="0" borderId="9" xfId="0" applyNumberFormat="1" applyFont="1" applyFill="1" applyBorder="1" applyProtection="1">
      <protection locked="0"/>
    </xf>
    <xf numFmtId="178" fontId="14" fillId="0" borderId="64" xfId="0" applyNumberFormat="1" applyFont="1" applyFill="1" applyBorder="1" applyProtection="1">
      <protection locked="0"/>
    </xf>
    <xf numFmtId="0" fontId="14" fillId="0" borderId="3" xfId="0" applyFont="1" applyFill="1" applyBorder="1" applyAlignment="1" applyProtection="1">
      <alignment vertical="top" wrapText="1"/>
      <protection locked="0"/>
    </xf>
    <xf numFmtId="0" fontId="14" fillId="0" borderId="42" xfId="0" applyFont="1" applyFill="1" applyBorder="1" applyAlignment="1" applyProtection="1">
      <alignment vertical="top" wrapText="1"/>
      <protection locked="0"/>
    </xf>
    <xf numFmtId="178" fontId="14" fillId="0" borderId="42" xfId="0" applyNumberFormat="1" applyFont="1" applyFill="1" applyBorder="1" applyAlignment="1" applyProtection="1">
      <alignment vertical="top" wrapText="1"/>
      <protection locked="0"/>
    </xf>
    <xf numFmtId="178" fontId="14" fillId="0" borderId="8" xfId="0" applyNumberFormat="1" applyFont="1" applyFill="1" applyBorder="1" applyAlignment="1" applyProtection="1">
      <alignment vertical="top" wrapText="1"/>
      <protection locked="0"/>
    </xf>
    <xf numFmtId="178" fontId="14" fillId="0" borderId="3" xfId="0" applyNumberFormat="1" applyFont="1" applyFill="1" applyBorder="1" applyAlignment="1" applyProtection="1">
      <alignment vertical="top" wrapText="1"/>
      <protection locked="0"/>
    </xf>
    <xf numFmtId="178" fontId="14" fillId="0" borderId="0" xfId="0" applyNumberFormat="1" applyFont="1" applyFill="1" applyBorder="1" applyAlignment="1" applyProtection="1">
      <alignment vertical="top" wrapText="1"/>
      <protection locked="0"/>
    </xf>
    <xf numFmtId="178" fontId="14" fillId="0" borderId="47" xfId="0" applyNumberFormat="1" applyFont="1" applyFill="1" applyBorder="1" applyAlignment="1" applyProtection="1">
      <alignment vertical="top" wrapText="1"/>
      <protection locked="0"/>
    </xf>
    <xf numFmtId="178" fontId="14" fillId="0" borderId="60" xfId="0" applyNumberFormat="1" applyFont="1" applyFill="1" applyBorder="1" applyAlignment="1" applyProtection="1">
      <alignment vertical="top" wrapText="1"/>
      <protection locked="0"/>
    </xf>
    <xf numFmtId="178" fontId="14" fillId="0" borderId="61" xfId="0" applyNumberFormat="1" applyFont="1" applyFill="1" applyBorder="1" applyAlignment="1" applyProtection="1">
      <alignment vertical="top" wrapText="1"/>
      <protection locked="0"/>
    </xf>
    <xf numFmtId="178" fontId="14" fillId="0" borderId="62" xfId="0" applyNumberFormat="1" applyFont="1" applyFill="1" applyBorder="1" applyAlignment="1" applyProtection="1">
      <alignment vertical="top" wrapText="1"/>
      <protection locked="0"/>
    </xf>
    <xf numFmtId="178" fontId="14" fillId="0" borderId="59" xfId="0" applyNumberFormat="1" applyFont="1" applyFill="1" applyBorder="1" applyAlignment="1" applyProtection="1">
      <alignment vertical="top" wrapText="1"/>
      <protection locked="0"/>
    </xf>
    <xf numFmtId="178" fontId="14" fillId="0" borderId="63" xfId="0" applyNumberFormat="1" applyFont="1" applyFill="1" applyBorder="1" applyAlignment="1" applyProtection="1">
      <alignment vertical="top" wrapText="1"/>
      <protection locked="0"/>
    </xf>
    <xf numFmtId="0" fontId="16" fillId="0" borderId="36" xfId="0" applyFont="1" applyFill="1" applyBorder="1"/>
    <xf numFmtId="172" fontId="19" fillId="0" borderId="0" xfId="0" applyNumberFormat="1" applyFont="1" applyFill="1" applyBorder="1" applyAlignment="1">
      <alignment horizontal="right"/>
    </xf>
    <xf numFmtId="0" fontId="16" fillId="0" borderId="9" xfId="0" applyFont="1" applyFill="1" applyBorder="1"/>
    <xf numFmtId="0" fontId="16" fillId="0" borderId="93" xfId="0" applyFont="1" applyFill="1" applyBorder="1"/>
    <xf numFmtId="0" fontId="21" fillId="0" borderId="0" xfId="0" applyFont="1" applyFill="1" applyBorder="1" applyProtection="1">
      <protection locked="0"/>
    </xf>
    <xf numFmtId="0" fontId="19" fillId="0" borderId="3" xfId="0" applyFont="1" applyFill="1" applyBorder="1" applyAlignment="1" applyProtection="1">
      <alignment horizontal="right"/>
    </xf>
    <xf numFmtId="0" fontId="19" fillId="0" borderId="0" xfId="0" applyFont="1" applyFill="1" applyBorder="1" applyAlignment="1" applyProtection="1">
      <alignment horizontal="center"/>
      <protection locked="0"/>
    </xf>
    <xf numFmtId="178" fontId="19" fillId="0" borderId="0" xfId="0" applyNumberFormat="1" applyFont="1" applyFill="1" applyBorder="1" applyAlignment="1" applyProtection="1">
      <alignment horizontal="right"/>
    </xf>
    <xf numFmtId="178" fontId="19" fillId="0" borderId="0" xfId="1" applyNumberFormat="1" applyFont="1" applyFill="1" applyBorder="1" applyAlignment="1" applyProtection="1">
      <alignment horizontal="right"/>
    </xf>
    <xf numFmtId="0" fontId="16" fillId="0" borderId="42" xfId="0" applyFont="1" applyFill="1" applyBorder="1" applyAlignment="1" applyProtection="1">
      <alignment horizontal="center" vertical="top" wrapText="1"/>
      <protection locked="0"/>
    </xf>
    <xf numFmtId="171" fontId="14" fillId="0" borderId="0" xfId="6" applyNumberFormat="1" applyFont="1" applyFill="1" applyBorder="1"/>
    <xf numFmtId="178" fontId="19" fillId="0" borderId="0" xfId="1" applyNumberFormat="1" applyFont="1" applyFill="1" applyBorder="1" applyAlignment="1">
      <alignment horizontal="right"/>
    </xf>
    <xf numFmtId="0" fontId="16" fillId="0" borderId="5"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171" fontId="14" fillId="0" borderId="8" xfId="6" applyNumberFormat="1" applyFont="1" applyFill="1" applyBorder="1" applyAlignment="1" applyProtection="1">
      <alignment horizontal="center" vertical="top" wrapText="1"/>
      <protection locked="0"/>
    </xf>
    <xf numFmtId="171" fontId="14" fillId="0" borderId="1" xfId="6" applyNumberFormat="1" applyFont="1" applyFill="1" applyBorder="1" applyAlignment="1" applyProtection="1">
      <alignment horizontal="center" vertical="top" wrapText="1"/>
      <protection locked="0"/>
    </xf>
    <xf numFmtId="171" fontId="14" fillId="0" borderId="11" xfId="6" applyNumberFormat="1" applyFont="1" applyFill="1" applyBorder="1" applyAlignment="1" applyProtection="1">
      <alignment horizontal="center" vertical="top" wrapText="1"/>
      <protection locked="0"/>
    </xf>
    <xf numFmtId="0" fontId="16" fillId="0" borderId="2" xfId="0" applyFont="1" applyFill="1" applyBorder="1" applyAlignment="1" applyProtection="1">
      <alignment horizontal="left" vertical="top" wrapText="1" indent="1"/>
      <protection locked="0"/>
    </xf>
    <xf numFmtId="0" fontId="14" fillId="0" borderId="1"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indent="2"/>
      <protection locked="0"/>
    </xf>
    <xf numFmtId="0" fontId="14" fillId="0" borderId="8" xfId="0" applyFont="1" applyFill="1" applyBorder="1" applyAlignment="1" applyProtection="1">
      <alignment horizontal="left" vertical="top" wrapText="1"/>
      <protection locked="0"/>
    </xf>
    <xf numFmtId="0" fontId="19" fillId="0" borderId="5" xfId="0" applyFont="1" applyFill="1" applyBorder="1" applyAlignment="1" applyProtection="1">
      <alignment horizontal="left" wrapText="1"/>
      <protection locked="0"/>
    </xf>
    <xf numFmtId="168" fontId="14" fillId="0" borderId="1" xfId="1" applyNumberFormat="1" applyFont="1" applyFill="1" applyBorder="1" applyAlignment="1" applyProtection="1">
      <alignment horizontal="center" vertical="top" wrapText="1"/>
      <protection locked="0"/>
    </xf>
    <xf numFmtId="0" fontId="14" fillId="0" borderId="44" xfId="0" applyFont="1" applyFill="1" applyBorder="1" applyAlignment="1" applyProtection="1">
      <alignment horizontal="left" vertical="top" wrapText="1"/>
      <protection locked="0"/>
    </xf>
    <xf numFmtId="171" fontId="14" fillId="0" borderId="49" xfId="6" applyNumberFormat="1" applyFont="1" applyFill="1" applyBorder="1" applyAlignment="1" applyProtection="1">
      <alignment horizontal="center" vertical="top" wrapText="1"/>
      <protection locked="0"/>
    </xf>
    <xf numFmtId="171" fontId="14" fillId="0" borderId="44" xfId="6" applyNumberFormat="1" applyFont="1" applyFill="1" applyBorder="1" applyAlignment="1" applyProtection="1">
      <alignment horizontal="center" vertical="top" wrapText="1"/>
      <protection locked="0"/>
    </xf>
    <xf numFmtId="0" fontId="16" fillId="0" borderId="44"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protection locked="0"/>
    </xf>
    <xf numFmtId="0" fontId="14" fillId="0" borderId="5" xfId="0" applyFont="1" applyFill="1" applyBorder="1" applyAlignment="1" applyProtection="1">
      <alignment horizontal="left" vertical="top" wrapText="1"/>
      <protection locked="0"/>
    </xf>
    <xf numFmtId="171" fontId="14" fillId="0" borderId="10" xfId="6" applyNumberFormat="1" applyFont="1" applyFill="1" applyBorder="1" applyAlignment="1" applyProtection="1">
      <alignment horizontal="center" vertical="top" wrapText="1"/>
      <protection locked="0"/>
    </xf>
    <xf numFmtId="171" fontId="14" fillId="0" borderId="5" xfId="6" applyNumberFormat="1" applyFont="1" applyFill="1" applyBorder="1" applyAlignment="1" applyProtection="1">
      <alignment horizontal="center" vertical="top" wrapText="1"/>
      <protection locked="0"/>
    </xf>
    <xf numFmtId="0" fontId="16" fillId="0" borderId="2" xfId="0" applyFont="1" applyFill="1" applyBorder="1" applyAlignment="1" applyProtection="1">
      <alignment horizontal="left" wrapText="1" indent="1"/>
      <protection locked="0"/>
    </xf>
    <xf numFmtId="0" fontId="19" fillId="0" borderId="0" xfId="0" applyFont="1" applyFill="1"/>
    <xf numFmtId="0" fontId="19" fillId="0" borderId="0" xfId="0" applyFont="1" applyFill="1" applyBorder="1" applyAlignment="1">
      <alignment horizontal="left" vertical="top" wrapText="1"/>
    </xf>
    <xf numFmtId="0" fontId="21" fillId="0" borderId="0" xfId="0" applyFont="1" applyFill="1"/>
    <xf numFmtId="179" fontId="14" fillId="0" borderId="99" xfId="6" applyNumberFormat="1" applyFont="1" applyFill="1" applyBorder="1" applyAlignment="1" applyProtection="1">
      <alignment horizontal="center" vertical="top" wrapText="1"/>
      <protection locked="0"/>
    </xf>
    <xf numFmtId="179" fontId="14" fillId="0" borderId="42" xfId="6" applyNumberFormat="1" applyFont="1" applyFill="1" applyBorder="1" applyAlignment="1" applyProtection="1">
      <alignment horizontal="center" vertical="top" wrapText="1"/>
      <protection locked="0"/>
    </xf>
    <xf numFmtId="179" fontId="14" fillId="0" borderId="8" xfId="6" applyNumberFormat="1" applyFont="1" applyFill="1" applyBorder="1" applyAlignment="1" applyProtection="1">
      <alignment horizontal="center" vertical="top" wrapText="1"/>
      <protection locked="0"/>
    </xf>
    <xf numFmtId="179" fontId="14" fillId="0" borderId="3" xfId="6" applyNumberFormat="1" applyFont="1" applyFill="1" applyBorder="1" applyAlignment="1" applyProtection="1">
      <alignment horizontal="center" vertical="top" wrapText="1"/>
      <protection locked="0"/>
    </xf>
    <xf numFmtId="179" fontId="14" fillId="0" borderId="0" xfId="6" applyNumberFormat="1" applyFont="1" applyFill="1" applyBorder="1" applyAlignment="1" applyProtection="1">
      <alignment horizontal="center" vertical="top" wrapText="1"/>
      <protection locked="0"/>
    </xf>
    <xf numFmtId="179" fontId="14" fillId="0" borderId="45" xfId="6" applyNumberFormat="1" applyFont="1" applyFill="1" applyBorder="1" applyAlignment="1" applyProtection="1">
      <alignment horizontal="center" vertical="top" wrapText="1"/>
      <protection locked="0"/>
    </xf>
    <xf numFmtId="0" fontId="19" fillId="0" borderId="2" xfId="0" applyFont="1" applyFill="1" applyBorder="1" applyAlignment="1" applyProtection="1">
      <alignment horizontal="left" wrapText="1" indent="1"/>
      <protection locked="0"/>
    </xf>
    <xf numFmtId="179" fontId="14" fillId="0" borderId="47" xfId="6" applyNumberFormat="1" applyFont="1" applyFill="1" applyBorder="1" applyAlignment="1" applyProtection="1">
      <alignment horizontal="center" vertical="top" wrapText="1"/>
      <protection locked="0"/>
    </xf>
    <xf numFmtId="0" fontId="19" fillId="0" borderId="11" xfId="0" applyFont="1" applyFill="1" applyBorder="1" applyAlignment="1" applyProtection="1">
      <alignment horizontal="left" wrapText="1" indent="1"/>
      <protection locked="0"/>
    </xf>
    <xf numFmtId="0" fontId="14" fillId="0" borderId="7" xfId="0" applyFont="1" applyFill="1" applyBorder="1" applyAlignment="1" applyProtection="1">
      <alignment horizontal="left" vertical="top" wrapText="1"/>
      <protection locked="0"/>
    </xf>
    <xf numFmtId="179" fontId="14" fillId="0" borderId="103" xfId="6" applyNumberFormat="1" applyFont="1" applyFill="1" applyBorder="1" applyAlignment="1" applyProtection="1">
      <alignment horizontal="center" vertical="top" wrapText="1"/>
      <protection locked="0"/>
    </xf>
    <xf numFmtId="179" fontId="14" fillId="0" borderId="43" xfId="6" applyNumberFormat="1" applyFont="1" applyFill="1" applyBorder="1" applyAlignment="1" applyProtection="1">
      <alignment horizontal="center" vertical="top" wrapText="1"/>
      <protection locked="0"/>
    </xf>
    <xf numFmtId="179" fontId="14" fillId="0" borderId="7" xfId="6" applyNumberFormat="1" applyFont="1" applyFill="1" applyBorder="1" applyAlignment="1" applyProtection="1">
      <alignment horizontal="center" vertical="top" wrapText="1"/>
      <protection locked="0"/>
    </xf>
    <xf numFmtId="179" fontId="14" fillId="0" borderId="12" xfId="6" applyNumberFormat="1" applyFont="1" applyFill="1" applyBorder="1" applyAlignment="1" applyProtection="1">
      <alignment horizontal="center" vertical="top" wrapText="1"/>
      <protection locked="0"/>
    </xf>
    <xf numFmtId="179" fontId="14" fillId="0" borderId="6" xfId="6" applyNumberFormat="1" applyFont="1" applyFill="1" applyBorder="1" applyAlignment="1" applyProtection="1">
      <alignment horizontal="center" vertical="top" wrapText="1"/>
      <protection locked="0"/>
    </xf>
    <xf numFmtId="0" fontId="14" fillId="0" borderId="8" xfId="0" applyFont="1" applyFill="1" applyBorder="1" applyAlignment="1" applyProtection="1">
      <alignment horizontal="left" wrapText="1"/>
      <protection locked="0"/>
    </xf>
    <xf numFmtId="179" fontId="14" fillId="0" borderId="99" xfId="0" applyNumberFormat="1" applyFont="1" applyFill="1" applyBorder="1" applyAlignment="1" applyProtection="1">
      <alignment horizontal="center" vertical="top" wrapText="1"/>
      <protection locked="0"/>
    </xf>
    <xf numFmtId="179" fontId="14" fillId="0" borderId="42" xfId="0" applyNumberFormat="1" applyFont="1" applyFill="1" applyBorder="1" applyAlignment="1" applyProtection="1">
      <alignment horizontal="center" vertical="top" wrapText="1"/>
      <protection locked="0"/>
    </xf>
    <xf numFmtId="179" fontId="14" fillId="0" borderId="8" xfId="0" applyNumberFormat="1" applyFont="1" applyFill="1" applyBorder="1" applyAlignment="1" applyProtection="1">
      <alignment horizontal="center" vertical="top" wrapText="1"/>
      <protection locked="0"/>
    </xf>
    <xf numFmtId="179" fontId="14" fillId="0" borderId="3" xfId="0" applyNumberFormat="1" applyFont="1" applyFill="1" applyBorder="1" applyAlignment="1" applyProtection="1">
      <alignment horizontal="center" vertical="top" wrapText="1"/>
      <protection locked="0"/>
    </xf>
    <xf numFmtId="179" fontId="14" fillId="0" borderId="0" xfId="0" applyNumberFormat="1" applyFont="1" applyFill="1" applyBorder="1" applyAlignment="1" applyProtection="1">
      <alignment horizontal="center" vertical="top" wrapText="1"/>
      <protection locked="0"/>
    </xf>
    <xf numFmtId="179" fontId="14" fillId="0" borderId="47" xfId="0" applyNumberFormat="1" applyFont="1" applyFill="1" applyBorder="1" applyAlignment="1" applyProtection="1">
      <alignment horizontal="center" vertical="top" wrapText="1"/>
      <protection locked="0"/>
    </xf>
    <xf numFmtId="0" fontId="16" fillId="0" borderId="11" xfId="0" applyFont="1" applyFill="1" applyBorder="1" applyAlignment="1" applyProtection="1">
      <alignment horizontal="left" vertical="top" wrapText="1"/>
      <protection locked="0"/>
    </xf>
    <xf numFmtId="179" fontId="14" fillId="0" borderId="103" xfId="1" applyNumberFormat="1" applyFont="1" applyFill="1" applyBorder="1" applyAlignment="1" applyProtection="1">
      <alignment horizontal="center" vertical="top" wrapText="1"/>
      <protection locked="0"/>
    </xf>
    <xf numFmtId="179" fontId="14" fillId="0" borderId="43" xfId="1" applyNumberFormat="1" applyFont="1" applyFill="1" applyBorder="1" applyAlignment="1" applyProtection="1">
      <alignment horizontal="center" vertical="top" wrapText="1"/>
      <protection locked="0"/>
    </xf>
    <xf numFmtId="179" fontId="14" fillId="0" borderId="7" xfId="1" applyNumberFormat="1" applyFont="1" applyFill="1" applyBorder="1" applyAlignment="1" applyProtection="1">
      <alignment horizontal="center" vertical="top" wrapText="1"/>
      <protection locked="0"/>
    </xf>
    <xf numFmtId="179" fontId="14" fillId="0" borderId="12" xfId="1" applyNumberFormat="1" applyFont="1" applyFill="1" applyBorder="1" applyAlignment="1" applyProtection="1">
      <alignment horizontal="center" vertical="top" wrapText="1"/>
      <protection locked="0"/>
    </xf>
    <xf numFmtId="179" fontId="14" fillId="0" borderId="6" xfId="1" applyNumberFormat="1" applyFont="1" applyFill="1" applyBorder="1" applyAlignment="1" applyProtection="1">
      <alignment horizontal="center" vertical="top" wrapText="1"/>
      <protection locked="0"/>
    </xf>
    <xf numFmtId="179" fontId="14" fillId="0" borderId="45" xfId="1" applyNumberFormat="1" applyFont="1" applyFill="1" applyBorder="1" applyAlignment="1" applyProtection="1">
      <alignment horizontal="center" vertical="top" wrapText="1"/>
      <protection locked="0"/>
    </xf>
    <xf numFmtId="179" fontId="14" fillId="0" borderId="99" xfId="1" applyNumberFormat="1" applyFont="1" applyFill="1" applyBorder="1" applyAlignment="1" applyProtection="1">
      <alignment horizontal="center" vertical="top" wrapText="1"/>
      <protection locked="0"/>
    </xf>
    <xf numFmtId="179" fontId="14" fillId="0" borderId="42" xfId="1" applyNumberFormat="1" applyFont="1" applyFill="1" applyBorder="1" applyAlignment="1" applyProtection="1">
      <alignment horizontal="center" vertical="top" wrapText="1"/>
      <protection locked="0"/>
    </xf>
    <xf numFmtId="179" fontId="14" fillId="0" borderId="8" xfId="1" applyNumberFormat="1" applyFont="1" applyFill="1" applyBorder="1" applyAlignment="1" applyProtection="1">
      <alignment horizontal="center" vertical="top" wrapText="1"/>
      <protection locked="0"/>
    </xf>
    <xf numFmtId="179" fontId="14" fillId="0" borderId="3" xfId="1" applyNumberFormat="1" applyFont="1" applyFill="1" applyBorder="1" applyAlignment="1" applyProtection="1">
      <alignment horizontal="center" vertical="top" wrapText="1"/>
      <protection locked="0"/>
    </xf>
    <xf numFmtId="179" fontId="14" fillId="0" borderId="0" xfId="1" applyNumberFormat="1" applyFont="1" applyFill="1" applyBorder="1" applyAlignment="1" applyProtection="1">
      <alignment horizontal="center" vertical="top" wrapText="1"/>
      <protection locked="0"/>
    </xf>
    <xf numFmtId="179" fontId="14" fillId="0" borderId="47" xfId="1" applyNumberFormat="1" applyFont="1" applyFill="1" applyBorder="1" applyAlignment="1" applyProtection="1">
      <alignment horizontal="center" vertical="top" wrapText="1"/>
      <protection locked="0"/>
    </xf>
    <xf numFmtId="0" fontId="14" fillId="0" borderId="10" xfId="0" applyFont="1" applyFill="1" applyBorder="1" applyAlignment="1" applyProtection="1">
      <alignment horizontal="left" vertical="top" wrapText="1"/>
      <protection locked="0"/>
    </xf>
    <xf numFmtId="179" fontId="14" fillId="0" borderId="93" xfId="0" applyNumberFormat="1" applyFont="1" applyFill="1" applyBorder="1" applyAlignment="1" applyProtection="1">
      <alignment horizontal="center" vertical="top" wrapText="1"/>
      <protection locked="0"/>
    </xf>
    <xf numFmtId="179" fontId="14" fillId="0" borderId="36" xfId="0" applyNumberFormat="1" applyFont="1" applyFill="1" applyBorder="1" applyAlignment="1" applyProtection="1">
      <alignment horizontal="center" vertical="top" wrapText="1"/>
      <protection locked="0"/>
    </xf>
    <xf numFmtId="179" fontId="14" fillId="0" borderId="10" xfId="0" applyNumberFormat="1" applyFont="1" applyFill="1" applyBorder="1" applyAlignment="1" applyProtection="1">
      <alignment horizontal="center" vertical="top" wrapText="1"/>
      <protection locked="0"/>
    </xf>
    <xf numFmtId="179" fontId="14" fillId="0" borderId="4" xfId="0" applyNumberFormat="1" applyFont="1" applyFill="1" applyBorder="1" applyAlignment="1" applyProtection="1">
      <alignment horizontal="center" vertical="top" wrapText="1"/>
      <protection locked="0"/>
    </xf>
    <xf numFmtId="179" fontId="14" fillId="0" borderId="9" xfId="0" applyNumberFormat="1" applyFont="1" applyFill="1" applyBorder="1" applyAlignment="1" applyProtection="1">
      <alignment horizontal="center" vertical="top" wrapText="1"/>
      <protection locked="0"/>
    </xf>
    <xf numFmtId="179" fontId="14" fillId="0" borderId="64" xfId="0" applyNumberFormat="1" applyFont="1" applyFill="1" applyBorder="1" applyAlignment="1" applyProtection="1">
      <alignment horizontal="center" vertical="top" wrapText="1"/>
      <protection locked="0"/>
    </xf>
    <xf numFmtId="0" fontId="14" fillId="0" borderId="7" xfId="0" applyNumberFormat="1" applyFont="1" applyFill="1" applyBorder="1" applyAlignment="1">
      <alignment horizontal="left" vertical="top" wrapText="1"/>
    </xf>
    <xf numFmtId="0" fontId="14" fillId="0" borderId="75" xfId="0" applyFont="1" applyFill="1" applyBorder="1" applyAlignment="1">
      <alignment horizontal="left" vertical="top" wrapText="1"/>
    </xf>
    <xf numFmtId="0" fontId="14" fillId="0" borderId="12" xfId="0" applyFont="1" applyFill="1" applyBorder="1" applyAlignment="1">
      <alignment horizontal="center" vertical="top" wrapText="1"/>
    </xf>
    <xf numFmtId="0" fontId="14" fillId="0" borderId="43" xfId="0" applyFont="1" applyFill="1" applyBorder="1" applyAlignment="1">
      <alignment horizontal="center" vertical="top" wrapText="1"/>
    </xf>
    <xf numFmtId="0" fontId="14" fillId="0" borderId="66" xfId="0" applyFont="1" applyFill="1" applyBorder="1" applyAlignment="1">
      <alignment horizontal="center" vertical="top" wrapText="1"/>
    </xf>
    <xf numFmtId="0" fontId="14" fillId="0" borderId="11" xfId="0" applyFont="1" applyFill="1" applyBorder="1" applyAlignment="1">
      <alignment horizontal="center" vertical="top" wrapText="1"/>
    </xf>
    <xf numFmtId="0" fontId="14" fillId="0" borderId="6" xfId="0" applyFont="1" applyFill="1" applyBorder="1" applyAlignment="1">
      <alignment horizontal="center" vertical="top" wrapText="1"/>
    </xf>
    <xf numFmtId="0" fontId="14" fillId="0" borderId="7" xfId="0" applyFont="1" applyFill="1" applyBorder="1" applyAlignment="1">
      <alignment horizontal="center" vertical="top" wrapText="1"/>
    </xf>
    <xf numFmtId="178" fontId="14" fillId="0" borderId="76" xfId="1" applyNumberFormat="1" applyFont="1" applyFill="1" applyBorder="1" applyAlignment="1" applyProtection="1">
      <alignment horizontal="left" vertical="top" wrapText="1"/>
      <protection locked="0"/>
    </xf>
    <xf numFmtId="178" fontId="14" fillId="0" borderId="3" xfId="0" applyNumberFormat="1" applyFont="1" applyFill="1" applyBorder="1" applyAlignment="1" applyProtection="1">
      <alignment horizontal="center" vertical="top" wrapText="1"/>
      <protection locked="0"/>
    </xf>
    <xf numFmtId="178" fontId="14" fillId="0" borderId="42" xfId="0" applyNumberFormat="1" applyFont="1" applyFill="1" applyBorder="1" applyAlignment="1" applyProtection="1">
      <alignment horizontal="center" vertical="top" wrapText="1"/>
      <protection locked="0"/>
    </xf>
    <xf numFmtId="178" fontId="14" fillId="0" borderId="1" xfId="0" applyNumberFormat="1" applyFont="1" applyFill="1" applyBorder="1" applyAlignment="1" applyProtection="1">
      <alignment horizontal="center" vertical="top" wrapText="1"/>
      <protection locked="0"/>
    </xf>
    <xf numFmtId="178" fontId="14" fillId="0" borderId="0" xfId="0" applyNumberFormat="1" applyFont="1" applyFill="1" applyBorder="1" applyAlignment="1" applyProtection="1">
      <alignment horizontal="center" vertical="top" wrapText="1"/>
      <protection locked="0"/>
    </xf>
    <xf numFmtId="178" fontId="14" fillId="0" borderId="8" xfId="0" applyNumberFormat="1" applyFont="1" applyFill="1" applyBorder="1" applyAlignment="1" applyProtection="1">
      <alignment horizontal="center" vertical="top" wrapText="1"/>
      <protection locked="0"/>
    </xf>
    <xf numFmtId="178" fontId="14" fillId="0" borderId="3" xfId="6" applyNumberFormat="1" applyFont="1" applyFill="1" applyBorder="1" applyAlignment="1" applyProtection="1">
      <alignment horizontal="center" vertical="top" wrapText="1"/>
      <protection locked="0"/>
    </xf>
    <xf numFmtId="178" fontId="14" fillId="0" borderId="42" xfId="6" applyNumberFormat="1" applyFont="1" applyFill="1" applyBorder="1" applyAlignment="1" applyProtection="1">
      <alignment horizontal="center" vertical="top" wrapText="1"/>
      <protection locked="0"/>
    </xf>
    <xf numFmtId="178" fontId="14" fillId="0" borderId="67" xfId="6" applyNumberFormat="1" applyFont="1" applyFill="1" applyBorder="1" applyAlignment="1" applyProtection="1">
      <alignment horizontal="center" vertical="top" wrapText="1"/>
      <protection locked="0"/>
    </xf>
    <xf numFmtId="178" fontId="14" fillId="0" borderId="1" xfId="6" applyNumberFormat="1" applyFont="1" applyFill="1" applyBorder="1" applyAlignment="1" applyProtection="1">
      <alignment horizontal="center" vertical="top" wrapText="1"/>
      <protection locked="0"/>
    </xf>
    <xf numFmtId="178" fontId="14" fillId="0" borderId="0" xfId="6" applyNumberFormat="1" applyFont="1" applyFill="1" applyBorder="1" applyAlignment="1" applyProtection="1">
      <alignment horizontal="center" vertical="top" wrapText="1"/>
      <protection locked="0"/>
    </xf>
    <xf numFmtId="178" fontId="14" fillId="0" borderId="8" xfId="6" applyNumberFormat="1" applyFont="1" applyFill="1" applyBorder="1" applyAlignment="1" applyProtection="1">
      <alignment horizontal="center" vertical="top" wrapText="1"/>
      <protection locked="0"/>
    </xf>
    <xf numFmtId="178" fontId="14" fillId="0" borderId="97" xfId="6" applyNumberFormat="1" applyFont="1" applyFill="1" applyBorder="1" applyAlignment="1" applyProtection="1">
      <alignment horizontal="center" vertical="top" wrapText="1"/>
      <protection locked="0"/>
    </xf>
    <xf numFmtId="178" fontId="14" fillId="0" borderId="68" xfId="6" applyNumberFormat="1" applyFont="1" applyFill="1" applyBorder="1" applyAlignment="1" applyProtection="1">
      <alignment horizontal="center" vertical="top" wrapText="1"/>
      <protection locked="0"/>
    </xf>
    <xf numFmtId="178" fontId="14" fillId="0" borderId="71" xfId="6" applyNumberFormat="1" applyFont="1" applyFill="1" applyBorder="1" applyAlignment="1" applyProtection="1">
      <alignment horizontal="center" vertical="top" wrapText="1"/>
      <protection locked="0"/>
    </xf>
    <xf numFmtId="178" fontId="14" fillId="0" borderId="69" xfId="6" applyNumberFormat="1" applyFont="1" applyFill="1" applyBorder="1" applyAlignment="1" applyProtection="1">
      <alignment horizontal="center" vertical="top" wrapText="1"/>
      <protection locked="0"/>
    </xf>
    <xf numFmtId="178" fontId="14" fillId="0" borderId="98" xfId="6" applyNumberFormat="1" applyFont="1" applyFill="1" applyBorder="1" applyAlignment="1" applyProtection="1">
      <alignment horizontal="center" vertical="top" wrapText="1"/>
      <protection locked="0"/>
    </xf>
    <xf numFmtId="178" fontId="14" fillId="0" borderId="73" xfId="6" applyNumberFormat="1" applyFont="1" applyFill="1" applyBorder="1" applyAlignment="1" applyProtection="1">
      <alignment horizontal="center" vertical="top" wrapText="1"/>
      <protection locked="0"/>
    </xf>
    <xf numFmtId="178" fontId="14" fillId="0" borderId="72" xfId="6" applyNumberFormat="1" applyFont="1" applyFill="1" applyBorder="1" applyAlignment="1" applyProtection="1">
      <alignment horizontal="center" vertical="top" wrapText="1"/>
      <protection locked="0"/>
    </xf>
    <xf numFmtId="0" fontId="18" fillId="0" borderId="8" xfId="0" applyNumberFormat="1" applyFont="1" applyFill="1" applyBorder="1" applyAlignment="1">
      <alignment horizontal="left" wrapText="1"/>
    </xf>
    <xf numFmtId="0" fontId="14" fillId="0" borderId="67" xfId="0" applyFont="1" applyFill="1" applyBorder="1" applyAlignment="1">
      <alignment horizontal="center" vertical="top" wrapText="1"/>
    </xf>
    <xf numFmtId="0" fontId="14" fillId="0" borderId="1" xfId="0" applyFont="1" applyFill="1" applyBorder="1" applyAlignment="1">
      <alignment horizontal="center" vertical="top" wrapText="1"/>
    </xf>
    <xf numFmtId="179" fontId="14" fillId="0" borderId="76" xfId="1" applyNumberFormat="1" applyFont="1" applyFill="1" applyBorder="1" applyAlignment="1" applyProtection="1">
      <alignment horizontal="left" vertical="top" wrapText="1"/>
      <protection locked="0"/>
    </xf>
    <xf numFmtId="179" fontId="14" fillId="0" borderId="67" xfId="6" applyNumberFormat="1" applyFont="1" applyFill="1" applyBorder="1" applyAlignment="1" applyProtection="1">
      <alignment horizontal="center" vertical="top" wrapText="1"/>
      <protection locked="0"/>
    </xf>
    <xf numFmtId="179" fontId="14" fillId="0" borderId="1" xfId="6" applyNumberFormat="1" applyFont="1" applyFill="1" applyBorder="1" applyAlignment="1" applyProtection="1">
      <alignment horizontal="center" vertical="top" wrapText="1"/>
      <protection locked="0"/>
    </xf>
    <xf numFmtId="179" fontId="14" fillId="0" borderId="97" xfId="1" applyNumberFormat="1" applyFont="1" applyFill="1" applyBorder="1" applyAlignment="1" applyProtection="1">
      <alignment horizontal="left" vertical="top" wrapText="1"/>
      <protection locked="0"/>
    </xf>
    <xf numFmtId="179" fontId="14" fillId="0" borderId="68" xfId="0" applyNumberFormat="1" applyFont="1" applyFill="1" applyBorder="1" applyAlignment="1" applyProtection="1">
      <alignment horizontal="center" vertical="top" wrapText="1"/>
      <protection locked="0"/>
    </xf>
    <xf numFmtId="179" fontId="14" fillId="0" borderId="71" xfId="0" applyNumberFormat="1" applyFont="1" applyFill="1" applyBorder="1" applyAlignment="1" applyProtection="1">
      <alignment horizontal="center" vertical="top" wrapText="1"/>
      <protection locked="0"/>
    </xf>
    <xf numFmtId="179" fontId="14" fillId="0" borderId="69" xfId="0" applyNumberFormat="1" applyFont="1" applyFill="1" applyBorder="1" applyAlignment="1" applyProtection="1">
      <alignment horizontal="center" vertical="top" wrapText="1"/>
      <protection locked="0"/>
    </xf>
    <xf numFmtId="179" fontId="14" fillId="0" borderId="98" xfId="0" applyNumberFormat="1" applyFont="1" applyFill="1" applyBorder="1" applyAlignment="1" applyProtection="1">
      <alignment horizontal="center" vertical="top" wrapText="1"/>
      <protection locked="0"/>
    </xf>
    <xf numFmtId="179" fontId="14" fillId="0" borderId="73" xfId="0" applyNumberFormat="1" applyFont="1" applyFill="1" applyBorder="1" applyAlignment="1" applyProtection="1">
      <alignment horizontal="center" vertical="top" wrapText="1"/>
      <protection locked="0"/>
    </xf>
    <xf numFmtId="179" fontId="14" fillId="0" borderId="72" xfId="0" applyNumberFormat="1" applyFont="1" applyFill="1" applyBorder="1" applyAlignment="1" applyProtection="1">
      <alignment horizontal="center" vertical="top" wrapText="1"/>
      <protection locked="0"/>
    </xf>
    <xf numFmtId="0" fontId="14" fillId="0" borderId="8" xfId="0" applyNumberFormat="1" applyFont="1" applyFill="1" applyBorder="1" applyAlignment="1">
      <alignment horizontal="left" vertical="top" wrapText="1"/>
    </xf>
    <xf numFmtId="179" fontId="14" fillId="0" borderId="3" xfId="0" applyNumberFormat="1" applyFont="1" applyFill="1" applyBorder="1" applyAlignment="1">
      <alignment horizontal="center" vertical="top" wrapText="1"/>
    </xf>
    <xf numFmtId="179" fontId="14" fillId="0" borderId="42" xfId="0" applyNumberFormat="1" applyFont="1" applyFill="1" applyBorder="1" applyAlignment="1">
      <alignment horizontal="center" vertical="top" wrapText="1"/>
    </xf>
    <xf numFmtId="179" fontId="14" fillId="0" borderId="67" xfId="0" applyNumberFormat="1" applyFont="1" applyFill="1" applyBorder="1" applyAlignment="1">
      <alignment horizontal="center" vertical="top" wrapText="1"/>
    </xf>
    <xf numFmtId="179" fontId="14" fillId="0" borderId="1" xfId="0" applyNumberFormat="1" applyFont="1" applyFill="1" applyBorder="1" applyAlignment="1">
      <alignment horizontal="center" vertical="top" wrapText="1"/>
    </xf>
    <xf numFmtId="179" fontId="14" fillId="0" borderId="0" xfId="0" applyNumberFormat="1" applyFont="1" applyFill="1" applyBorder="1" applyAlignment="1">
      <alignment horizontal="center" vertical="top" wrapText="1"/>
    </xf>
    <xf numFmtId="179" fontId="14" fillId="0" borderId="8" xfId="0" applyNumberFormat="1" applyFont="1" applyFill="1" applyBorder="1" applyAlignment="1">
      <alignment horizontal="center" vertical="top" wrapText="1"/>
    </xf>
    <xf numFmtId="168" fontId="14" fillId="0" borderId="76" xfId="1" applyNumberFormat="1" applyFont="1" applyFill="1" applyBorder="1" applyAlignment="1" applyProtection="1">
      <alignment horizontal="left" vertical="top" wrapText="1"/>
      <protection locked="0"/>
    </xf>
    <xf numFmtId="2" fontId="14" fillId="0" borderId="3" xfId="1" applyNumberFormat="1" applyFont="1" applyFill="1" applyBorder="1" applyAlignment="1" applyProtection="1">
      <alignment horizontal="center" vertical="top" wrapText="1"/>
      <protection locked="0"/>
    </xf>
    <xf numFmtId="2" fontId="14" fillId="0" borderId="42" xfId="1" applyNumberFormat="1" applyFont="1" applyFill="1" applyBorder="1" applyAlignment="1" applyProtection="1">
      <alignment horizontal="center" vertical="top" wrapText="1"/>
      <protection locked="0"/>
    </xf>
    <xf numFmtId="2" fontId="14" fillId="0" borderId="67" xfId="1" applyNumberFormat="1" applyFont="1" applyFill="1" applyBorder="1" applyAlignment="1" applyProtection="1">
      <alignment horizontal="center" vertical="top" wrapText="1"/>
      <protection locked="0"/>
    </xf>
    <xf numFmtId="2" fontId="14" fillId="0" borderId="1" xfId="1" applyNumberFormat="1" applyFont="1" applyFill="1" applyBorder="1" applyAlignment="1" applyProtection="1">
      <alignment horizontal="center" vertical="top" wrapText="1"/>
      <protection locked="0"/>
    </xf>
    <xf numFmtId="2" fontId="14" fillId="0" borderId="0" xfId="1" applyNumberFormat="1" applyFont="1" applyFill="1" applyBorder="1" applyAlignment="1" applyProtection="1">
      <alignment horizontal="center" vertical="top" wrapText="1"/>
      <protection locked="0"/>
    </xf>
    <xf numFmtId="2" fontId="14" fillId="0" borderId="8" xfId="1" applyNumberFormat="1" applyFont="1" applyFill="1" applyBorder="1" applyAlignment="1" applyProtection="1">
      <alignment horizontal="center" vertical="top" wrapText="1"/>
      <protection locked="0"/>
    </xf>
    <xf numFmtId="168" fontId="14" fillId="0" borderId="97" xfId="1" applyNumberFormat="1" applyFont="1" applyFill="1" applyBorder="1" applyAlignment="1" applyProtection="1">
      <alignment horizontal="left" vertical="top" wrapText="1"/>
      <protection locked="0"/>
    </xf>
    <xf numFmtId="168" fontId="14" fillId="0" borderId="71" xfId="1" applyNumberFormat="1" applyFont="1" applyFill="1" applyBorder="1" applyProtection="1">
      <protection locked="0"/>
    </xf>
    <xf numFmtId="168" fontId="14" fillId="0" borderId="98" xfId="1" applyNumberFormat="1" applyFont="1" applyFill="1" applyBorder="1" applyProtection="1">
      <protection locked="0"/>
    </xf>
    <xf numFmtId="168" fontId="14" fillId="0" borderId="107" xfId="1" applyNumberFormat="1" applyFont="1" applyFill="1" applyBorder="1" applyProtection="1">
      <protection locked="0"/>
    </xf>
    <xf numFmtId="168" fontId="14" fillId="0" borderId="97" xfId="1" applyNumberFormat="1" applyFont="1" applyFill="1" applyBorder="1" applyProtection="1">
      <protection locked="0"/>
    </xf>
    <xf numFmtId="168" fontId="14" fillId="0" borderId="0" xfId="1" applyNumberFormat="1" applyFont="1" applyFill="1" applyBorder="1" applyAlignment="1" applyProtection="1">
      <alignment horizontal="center" vertical="top" wrapText="1"/>
      <protection locked="0"/>
    </xf>
    <xf numFmtId="168" fontId="14" fillId="0" borderId="42" xfId="1" applyNumberFormat="1" applyFont="1" applyFill="1" applyBorder="1" applyAlignment="1" applyProtection="1">
      <alignment horizontal="center" vertical="top" wrapText="1"/>
      <protection locked="0"/>
    </xf>
    <xf numFmtId="168" fontId="14" fillId="0" borderId="8" xfId="1" applyNumberFormat="1" applyFont="1" applyFill="1" applyBorder="1" applyAlignment="1" applyProtection="1">
      <alignment horizontal="center" vertical="top" wrapText="1"/>
      <protection locked="0"/>
    </xf>
    <xf numFmtId="168" fontId="14" fillId="0" borderId="98" xfId="1" applyNumberFormat="1" applyFont="1" applyFill="1" applyBorder="1" applyAlignment="1" applyProtection="1">
      <alignment horizontal="left" vertical="top" wrapText="1"/>
      <protection locked="0"/>
    </xf>
    <xf numFmtId="168" fontId="14" fillId="0" borderId="98" xfId="1" applyNumberFormat="1" applyFont="1" applyFill="1" applyBorder="1" applyAlignment="1" applyProtection="1">
      <alignment horizontal="center" vertical="top" wrapText="1"/>
      <protection locked="0"/>
    </xf>
    <xf numFmtId="168" fontId="14" fillId="0" borderId="73" xfId="1" applyNumberFormat="1" applyFont="1" applyFill="1" applyBorder="1" applyAlignment="1" applyProtection="1">
      <alignment horizontal="center" vertical="top" wrapText="1"/>
      <protection locked="0"/>
    </xf>
    <xf numFmtId="168" fontId="14" fillId="0" borderId="71" xfId="1" applyNumberFormat="1" applyFont="1" applyFill="1" applyBorder="1" applyAlignment="1" applyProtection="1">
      <alignment horizontal="center" vertical="top" wrapText="1"/>
      <protection locked="0"/>
    </xf>
    <xf numFmtId="168" fontId="14" fillId="0" borderId="72" xfId="1" applyNumberFormat="1" applyFont="1" applyFill="1" applyBorder="1" applyAlignment="1" applyProtection="1">
      <alignment horizontal="center" vertical="top" wrapText="1"/>
      <protection locked="0"/>
    </xf>
    <xf numFmtId="168" fontId="14" fillId="0" borderId="3" xfId="1" applyNumberFormat="1" applyFont="1" applyFill="1" applyBorder="1" applyAlignment="1" applyProtection="1">
      <alignment horizontal="center" vertical="top" wrapText="1"/>
      <protection locked="0"/>
    </xf>
    <xf numFmtId="168" fontId="14" fillId="0" borderId="67" xfId="1" applyNumberFormat="1" applyFont="1" applyFill="1" applyBorder="1" applyAlignment="1" applyProtection="1">
      <alignment horizontal="center" vertical="top" wrapText="1"/>
      <protection locked="0"/>
    </xf>
    <xf numFmtId="168" fontId="14" fillId="0" borderId="1" xfId="1" applyNumberFormat="1" applyFont="1" applyFill="1" applyBorder="1" applyAlignment="1" applyProtection="1">
      <alignment horizontal="left" vertical="top" wrapText="1"/>
      <protection locked="0"/>
    </xf>
    <xf numFmtId="2" fontId="14" fillId="0" borderId="3" xfId="1" applyNumberFormat="1" applyFont="1" applyFill="1" applyBorder="1" applyAlignment="1">
      <alignment horizontal="center" vertical="top" wrapText="1"/>
    </xf>
    <xf numFmtId="2" fontId="14" fillId="0" borderId="42" xfId="1" applyNumberFormat="1" applyFont="1" applyFill="1" applyBorder="1" applyAlignment="1">
      <alignment horizontal="center" vertical="top" wrapText="1"/>
    </xf>
    <xf numFmtId="2" fontId="14" fillId="0" borderId="67" xfId="1" applyNumberFormat="1" applyFont="1" applyFill="1" applyBorder="1" applyAlignment="1">
      <alignment horizontal="center" vertical="top" wrapText="1"/>
    </xf>
    <xf numFmtId="2" fontId="14" fillId="0" borderId="1" xfId="1" applyNumberFormat="1" applyFont="1" applyFill="1" applyBorder="1" applyAlignment="1">
      <alignment horizontal="center" vertical="top" wrapText="1"/>
    </xf>
    <xf numFmtId="2" fontId="14" fillId="0" borderId="0" xfId="1" applyNumberFormat="1" applyFont="1" applyFill="1" applyBorder="1" applyAlignment="1">
      <alignment horizontal="center" vertical="top" wrapText="1"/>
    </xf>
    <xf numFmtId="2" fontId="14" fillId="0" borderId="8" xfId="1" applyNumberFormat="1" applyFont="1" applyFill="1" applyBorder="1" applyAlignment="1">
      <alignment horizontal="center" vertical="top" wrapText="1"/>
    </xf>
    <xf numFmtId="171" fontId="14" fillId="0" borderId="67" xfId="0" applyNumberFormat="1" applyFont="1" applyFill="1" applyBorder="1" applyAlignment="1">
      <alignment horizontal="center" vertical="top" wrapText="1"/>
    </xf>
    <xf numFmtId="171" fontId="14" fillId="0" borderId="3" xfId="0" applyNumberFormat="1" applyFont="1" applyFill="1" applyBorder="1" applyAlignment="1" applyProtection="1">
      <alignment horizontal="center" vertical="top" wrapText="1"/>
      <protection locked="0"/>
    </xf>
    <xf numFmtId="171" fontId="14" fillId="0" borderId="42" xfId="0" applyNumberFormat="1" applyFont="1" applyFill="1" applyBorder="1" applyAlignment="1" applyProtection="1">
      <alignment horizontal="center" vertical="top" wrapText="1"/>
      <protection locked="0"/>
    </xf>
    <xf numFmtId="171" fontId="14" fillId="0" borderId="67" xfId="0" applyNumberFormat="1" applyFont="1" applyFill="1" applyBorder="1" applyAlignment="1" applyProtection="1">
      <alignment horizontal="center" vertical="top" wrapText="1"/>
      <protection locked="0"/>
    </xf>
    <xf numFmtId="171" fontId="14" fillId="0" borderId="1" xfId="0" applyNumberFormat="1" applyFont="1" applyFill="1" applyBorder="1" applyAlignment="1" applyProtection="1">
      <alignment horizontal="center" vertical="top" wrapText="1"/>
      <protection locked="0"/>
    </xf>
    <xf numFmtId="171" fontId="14" fillId="0" borderId="0" xfId="0" applyNumberFormat="1" applyFont="1" applyFill="1" applyBorder="1" applyAlignment="1" applyProtection="1">
      <alignment horizontal="center" vertical="top" wrapText="1"/>
      <protection locked="0"/>
    </xf>
    <xf numFmtId="171" fontId="14" fillId="0" borderId="8" xfId="0" applyNumberFormat="1" applyFont="1" applyFill="1" applyBorder="1" applyAlignment="1" applyProtection="1">
      <alignment horizontal="center" vertical="top" wrapText="1"/>
      <protection locked="0"/>
    </xf>
    <xf numFmtId="168" fontId="18" fillId="0" borderId="76" xfId="1" applyNumberFormat="1" applyFont="1" applyFill="1" applyBorder="1" applyAlignment="1">
      <alignment horizontal="left" vertical="top" wrapText="1"/>
    </xf>
    <xf numFmtId="171" fontId="14" fillId="0" borderId="3" xfId="1" applyNumberFormat="1" applyFont="1" applyFill="1" applyBorder="1" applyAlignment="1" applyProtection="1">
      <alignment horizontal="center" vertical="top" wrapText="1"/>
      <protection locked="0"/>
    </xf>
    <xf numFmtId="171" fontId="14" fillId="0" borderId="42" xfId="1" applyNumberFormat="1" applyFont="1" applyFill="1" applyBorder="1" applyAlignment="1" applyProtection="1">
      <alignment horizontal="center" vertical="top" wrapText="1"/>
      <protection locked="0"/>
    </xf>
    <xf numFmtId="171" fontId="14" fillId="0" borderId="67" xfId="1" applyNumberFormat="1" applyFont="1" applyFill="1" applyBorder="1" applyAlignment="1" applyProtection="1">
      <alignment horizontal="center" vertical="top" wrapText="1"/>
      <protection locked="0"/>
    </xf>
    <xf numFmtId="171" fontId="14" fillId="0" borderId="0" xfId="1" applyNumberFormat="1" applyFont="1" applyFill="1" applyBorder="1" applyAlignment="1" applyProtection="1">
      <alignment horizontal="center" vertical="top" wrapText="1"/>
      <protection locked="0"/>
    </xf>
    <xf numFmtId="171" fontId="14" fillId="0" borderId="8" xfId="1" applyNumberFormat="1" applyFont="1" applyFill="1" applyBorder="1" applyAlignment="1" applyProtection="1">
      <alignment horizontal="center" vertical="top" wrapText="1"/>
      <protection locked="0"/>
    </xf>
    <xf numFmtId="0" fontId="14" fillId="0" borderId="10" xfId="0" applyFont="1" applyFill="1" applyBorder="1" applyAlignment="1">
      <alignment horizontal="left" vertical="top" wrapText="1"/>
    </xf>
    <xf numFmtId="168" fontId="14" fillId="0" borderId="77" xfId="1" applyNumberFormat="1" applyFont="1" applyFill="1" applyBorder="1" applyAlignment="1">
      <alignment horizontal="left" vertical="top" wrapText="1"/>
    </xf>
    <xf numFmtId="169" fontId="14" fillId="0" borderId="4" xfId="1" applyNumberFormat="1" applyFont="1" applyFill="1" applyBorder="1" applyAlignment="1">
      <alignment vertical="top" wrapText="1"/>
    </xf>
    <xf numFmtId="169" fontId="14" fillId="0" borderId="37" xfId="1" applyNumberFormat="1" applyFont="1" applyFill="1" applyBorder="1" applyAlignment="1">
      <alignment vertical="top" wrapText="1"/>
    </xf>
    <xf numFmtId="0" fontId="14" fillId="0" borderId="6" xfId="0" applyFont="1" applyFill="1" applyBorder="1"/>
    <xf numFmtId="0" fontId="14" fillId="0" borderId="7" xfId="0" applyFont="1" applyFill="1" applyBorder="1"/>
    <xf numFmtId="0" fontId="14" fillId="0" borderId="9" xfId="0" applyFont="1" applyFill="1" applyBorder="1"/>
    <xf numFmtId="0" fontId="14" fillId="0" borderId="10" xfId="0" applyFont="1" applyFill="1" applyBorder="1"/>
    <xf numFmtId="0" fontId="18" fillId="0" borderId="0" xfId="0" applyNumberFormat="1" applyFont="1" applyFill="1" applyBorder="1" applyProtection="1"/>
    <xf numFmtId="0" fontId="14" fillId="0" borderId="45" xfId="0" applyFont="1" applyFill="1" applyBorder="1"/>
    <xf numFmtId="0" fontId="22" fillId="0" borderId="0" xfId="0" applyNumberFormat="1" applyFont="1" applyFill="1" applyBorder="1" applyAlignment="1" applyProtection="1">
      <alignment horizontal="left"/>
    </xf>
    <xf numFmtId="0" fontId="14" fillId="0" borderId="0" xfId="0" applyNumberFormat="1" applyFont="1" applyFill="1" applyBorder="1" applyAlignment="1" applyProtection="1">
      <alignment horizontal="left" indent="1"/>
    </xf>
    <xf numFmtId="0" fontId="19" fillId="0" borderId="0" xfId="0" applyNumberFormat="1" applyFont="1" applyFill="1" applyBorder="1" applyAlignment="1" applyProtection="1">
      <alignment horizontal="right" indent="1"/>
    </xf>
    <xf numFmtId="0" fontId="16" fillId="0" borderId="0" xfId="0" applyNumberFormat="1" applyFont="1" applyFill="1" applyBorder="1" applyAlignment="1" applyProtection="1">
      <alignment horizontal="left"/>
    </xf>
    <xf numFmtId="179" fontId="14" fillId="0" borderId="68" xfId="0" applyNumberFormat="1" applyFont="1" applyFill="1" applyBorder="1" applyProtection="1">
      <protection locked="0"/>
    </xf>
    <xf numFmtId="179" fontId="14" fillId="0" borderId="73" xfId="0" applyNumberFormat="1" applyFont="1" applyFill="1" applyBorder="1" applyProtection="1">
      <protection locked="0"/>
    </xf>
    <xf numFmtId="0" fontId="14" fillId="0" borderId="73" xfId="0" applyNumberFormat="1" applyFont="1" applyFill="1" applyBorder="1" applyProtection="1"/>
    <xf numFmtId="0" fontId="14" fillId="0" borderId="9" xfId="0" applyNumberFormat="1" applyFont="1" applyFill="1" applyBorder="1" applyProtection="1"/>
    <xf numFmtId="0" fontId="18" fillId="0" borderId="12" xfId="0" applyNumberFormat="1" applyFont="1" applyFill="1" applyBorder="1" applyAlignment="1">
      <alignment horizontal="left" wrapText="1"/>
    </xf>
    <xf numFmtId="0" fontId="14" fillId="0" borderId="3" xfId="0" applyNumberFormat="1" applyFont="1" applyFill="1" applyBorder="1" applyAlignment="1">
      <alignment horizontal="left" wrapText="1" indent="1"/>
    </xf>
    <xf numFmtId="0" fontId="14" fillId="0" borderId="3" xfId="0" applyNumberFormat="1" applyFont="1" applyFill="1" applyBorder="1" applyAlignment="1">
      <alignment horizontal="left" vertical="top" wrapText="1" indent="1"/>
    </xf>
    <xf numFmtId="0" fontId="14" fillId="0" borderId="68" xfId="0" applyNumberFormat="1" applyFont="1" applyFill="1" applyBorder="1" applyAlignment="1">
      <alignment horizontal="left" vertical="top" wrapText="1" indent="1"/>
    </xf>
    <xf numFmtId="0" fontId="18" fillId="0" borderId="3" xfId="0" applyNumberFormat="1" applyFont="1" applyFill="1" applyBorder="1" applyAlignment="1">
      <alignment horizontal="left" wrapText="1"/>
    </xf>
    <xf numFmtId="0" fontId="14" fillId="0" borderId="68" xfId="0" applyNumberFormat="1" applyFont="1" applyFill="1" applyBorder="1" applyAlignment="1" applyProtection="1">
      <alignment horizontal="left" vertical="top" wrapText="1" indent="1"/>
      <protection locked="0"/>
    </xf>
    <xf numFmtId="0" fontId="18" fillId="0" borderId="3" xfId="0" applyNumberFormat="1" applyFont="1" applyFill="1" applyBorder="1" applyAlignment="1">
      <alignment horizontal="left" vertical="top" wrapText="1"/>
    </xf>
    <xf numFmtId="0" fontId="14" fillId="0" borderId="3" xfId="0" applyNumberFormat="1" applyFont="1" applyFill="1" applyBorder="1" applyAlignment="1">
      <alignment horizontal="left" vertical="top" wrapText="1"/>
    </xf>
    <xf numFmtId="0" fontId="14" fillId="0" borderId="4" xfId="0" applyFont="1" applyFill="1" applyBorder="1" applyAlignment="1">
      <alignment horizontal="left" vertical="top" wrapText="1"/>
    </xf>
    <xf numFmtId="0" fontId="29" fillId="0" borderId="0" xfId="0" applyFont="1" applyFill="1"/>
    <xf numFmtId="178" fontId="16" fillId="0" borderId="1" xfId="0" applyNumberFormat="1" applyFont="1" applyFill="1" applyBorder="1" applyProtection="1">
      <protection locked="0"/>
    </xf>
    <xf numFmtId="178" fontId="16" fillId="0" borderId="9" xfId="0" applyNumberFormat="1" applyFont="1" applyFill="1" applyBorder="1" applyProtection="1">
      <protection locked="0"/>
    </xf>
    <xf numFmtId="0" fontId="20" fillId="0" borderId="0" xfId="0" applyFont="1" applyFill="1" applyProtection="1"/>
    <xf numFmtId="0" fontId="19" fillId="0" borderId="0" xfId="0" applyFont="1" applyFill="1" applyProtection="1"/>
    <xf numFmtId="0" fontId="19" fillId="0" borderId="0" xfId="0" applyFont="1" applyFill="1" applyAlignment="1">
      <alignment horizontal="left"/>
    </xf>
    <xf numFmtId="178" fontId="14" fillId="0" borderId="43" xfId="0" applyNumberFormat="1" applyFont="1" applyFill="1" applyBorder="1" applyAlignment="1"/>
    <xf numFmtId="178" fontId="14" fillId="0" borderId="3" xfId="0" applyNumberFormat="1" applyFont="1" applyFill="1" applyBorder="1" applyAlignment="1"/>
    <xf numFmtId="178" fontId="14" fillId="0" borderId="0" xfId="0" applyNumberFormat="1" applyFont="1" applyFill="1" applyBorder="1" applyAlignment="1"/>
    <xf numFmtId="178" fontId="14" fillId="0" borderId="45" xfId="0" applyNumberFormat="1" applyFont="1" applyFill="1" applyBorder="1" applyAlignment="1"/>
    <xf numFmtId="178" fontId="14" fillId="0" borderId="42" xfId="0" applyNumberFormat="1" applyFont="1" applyFill="1" applyBorder="1" applyAlignment="1" applyProtection="1">
      <protection locked="0"/>
    </xf>
    <xf numFmtId="178" fontId="14" fillId="0" borderId="8" xfId="0" applyNumberFormat="1" applyFont="1" applyFill="1" applyBorder="1" applyAlignment="1" applyProtection="1">
      <protection locked="0"/>
    </xf>
    <xf numFmtId="178" fontId="14" fillId="0" borderId="3" xfId="0" applyNumberFormat="1" applyFont="1" applyFill="1" applyBorder="1" applyAlignment="1" applyProtection="1">
      <protection locked="0"/>
    </xf>
    <xf numFmtId="178" fontId="14" fillId="0" borderId="0" xfId="0" applyNumberFormat="1" applyFont="1" applyFill="1" applyBorder="1" applyAlignment="1" applyProtection="1">
      <protection locked="0"/>
    </xf>
    <xf numFmtId="178" fontId="14" fillId="0" borderId="47" xfId="0" applyNumberFormat="1" applyFont="1" applyFill="1" applyBorder="1" applyAlignment="1" applyProtection="1">
      <protection locked="0"/>
    </xf>
    <xf numFmtId="178" fontId="16" fillId="0" borderId="46" xfId="0" applyNumberFormat="1" applyFont="1" applyFill="1" applyBorder="1" applyAlignment="1"/>
    <xf numFmtId="178" fontId="16" fillId="0" borderId="49" xfId="0" applyNumberFormat="1" applyFont="1" applyFill="1" applyBorder="1" applyAlignment="1"/>
    <xf numFmtId="178" fontId="16" fillId="0" borderId="50" xfId="0" applyNumberFormat="1" applyFont="1" applyFill="1" applyBorder="1" applyAlignment="1"/>
    <xf numFmtId="178" fontId="16" fillId="0" borderId="48" xfId="0" applyNumberFormat="1" applyFont="1" applyFill="1" applyBorder="1" applyAlignment="1"/>
    <xf numFmtId="178" fontId="16" fillId="0" borderId="51" xfId="0" applyNumberFormat="1" applyFont="1" applyFill="1" applyBorder="1" applyAlignment="1"/>
    <xf numFmtId="178" fontId="14" fillId="0" borderId="42" xfId="0" applyNumberFormat="1" applyFont="1" applyFill="1" applyBorder="1" applyAlignment="1"/>
    <xf numFmtId="178" fontId="14" fillId="0" borderId="47" xfId="0" applyNumberFormat="1" applyFont="1" applyFill="1" applyBorder="1" applyAlignment="1"/>
    <xf numFmtId="178" fontId="14" fillId="0" borderId="46" xfId="0" applyNumberFormat="1" applyFont="1" applyFill="1" applyBorder="1" applyAlignment="1"/>
    <xf numFmtId="178" fontId="14" fillId="0" borderId="49" xfId="0" applyNumberFormat="1" applyFont="1" applyFill="1" applyBorder="1" applyAlignment="1"/>
    <xf numFmtId="178" fontId="14" fillId="0" borderId="50" xfId="0" applyNumberFormat="1" applyFont="1" applyFill="1" applyBorder="1" applyAlignment="1"/>
    <xf numFmtId="178" fontId="14" fillId="0" borderId="48" xfId="0" applyNumberFormat="1" applyFont="1" applyFill="1" applyBorder="1" applyAlignment="1"/>
    <xf numFmtId="178" fontId="14" fillId="0" borderId="51" xfId="0" applyNumberFormat="1" applyFont="1" applyFill="1" applyBorder="1" applyAlignment="1"/>
    <xf numFmtId="178" fontId="16" fillId="0" borderId="53" xfId="0" applyNumberFormat="1" applyFont="1" applyFill="1" applyBorder="1" applyAlignment="1"/>
    <xf numFmtId="178" fontId="16" fillId="0" borderId="55" xfId="0" applyNumberFormat="1" applyFont="1" applyFill="1" applyBorder="1" applyAlignment="1"/>
    <xf numFmtId="178" fontId="16" fillId="0" borderId="52" xfId="0" applyNumberFormat="1" applyFont="1" applyFill="1" applyBorder="1" applyAlignment="1"/>
    <xf numFmtId="178" fontId="16" fillId="0" borderId="54" xfId="0" applyNumberFormat="1" applyFont="1" applyFill="1" applyBorder="1" applyAlignment="1"/>
    <xf numFmtId="178" fontId="16" fillId="0" borderId="56" xfId="0" applyNumberFormat="1" applyFont="1" applyFill="1" applyBorder="1" applyAlignment="1"/>
    <xf numFmtId="172" fontId="14" fillId="0" borderId="76" xfId="0" applyNumberFormat="1" applyFont="1" applyFill="1" applyBorder="1" applyAlignment="1">
      <alignment horizontal="center"/>
    </xf>
    <xf numFmtId="172" fontId="14" fillId="0" borderId="3" xfId="0" applyNumberFormat="1" applyFont="1" applyFill="1" applyBorder="1" applyAlignment="1"/>
    <xf numFmtId="172" fontId="14" fillId="0" borderId="76" xfId="0" applyNumberFormat="1" applyFont="1" applyFill="1" applyBorder="1" applyAlignment="1"/>
    <xf numFmtId="0" fontId="14" fillId="0" borderId="3" xfId="0" applyNumberFormat="1" applyFont="1" applyFill="1" applyBorder="1" applyAlignment="1" applyProtection="1">
      <alignment horizontal="left" indent="1"/>
      <protection locked="0"/>
    </xf>
    <xf numFmtId="184" fontId="14" fillId="0" borderId="76" xfId="0" quotePrefix="1" applyNumberFormat="1" applyFont="1" applyFill="1" applyBorder="1" applyAlignment="1" applyProtection="1">
      <alignment horizontal="center"/>
      <protection locked="0"/>
    </xf>
    <xf numFmtId="178" fontId="14" fillId="0" borderId="76" xfId="0" applyNumberFormat="1" applyFont="1" applyFill="1" applyBorder="1" applyAlignment="1" applyProtection="1">
      <protection locked="0"/>
    </xf>
    <xf numFmtId="184" fontId="14" fillId="0" borderId="76" xfId="0" applyNumberFormat="1" applyFont="1" applyFill="1" applyBorder="1" applyAlignment="1" applyProtection="1">
      <alignment horizontal="center"/>
      <protection locked="0"/>
    </xf>
    <xf numFmtId="0" fontId="14" fillId="0" borderId="51" xfId="0" applyNumberFormat="1" applyFont="1" applyFill="1" applyBorder="1" applyAlignment="1">
      <alignment horizontal="center"/>
    </xf>
    <xf numFmtId="0" fontId="14" fillId="0" borderId="80" xfId="0" applyNumberFormat="1" applyFont="1" applyFill="1" applyBorder="1" applyAlignment="1">
      <alignment horizontal="center"/>
    </xf>
    <xf numFmtId="184" fontId="14" fillId="0" borderId="79" xfId="0" applyNumberFormat="1" applyFont="1" applyFill="1" applyBorder="1" applyAlignment="1">
      <alignment horizontal="center"/>
    </xf>
    <xf numFmtId="178" fontId="16" fillId="0" borderId="79" xfId="0" applyNumberFormat="1" applyFont="1" applyFill="1" applyBorder="1" applyAlignment="1"/>
    <xf numFmtId="184" fontId="14" fillId="0" borderId="76" xfId="0" applyNumberFormat="1" applyFont="1" applyFill="1" applyBorder="1" applyAlignment="1">
      <alignment horizontal="center"/>
    </xf>
    <xf numFmtId="178" fontId="14" fillId="0" borderId="76" xfId="0" applyNumberFormat="1" applyFont="1" applyFill="1" applyBorder="1" applyAlignment="1"/>
    <xf numFmtId="0" fontId="16" fillId="0" borderId="4" xfId="0" applyNumberFormat="1" applyFont="1" applyFill="1" applyBorder="1"/>
    <xf numFmtId="184" fontId="14" fillId="0" borderId="77" xfId="0" applyNumberFormat="1" applyFont="1" applyFill="1" applyBorder="1" applyAlignment="1">
      <alignment horizontal="center"/>
    </xf>
    <xf numFmtId="178" fontId="16" fillId="0" borderId="84" xfId="0" applyNumberFormat="1" applyFont="1" applyFill="1" applyBorder="1" applyAlignment="1"/>
    <xf numFmtId="172" fontId="14" fillId="0" borderId="6" xfId="0" applyNumberFormat="1" applyFont="1" applyFill="1" applyBorder="1"/>
    <xf numFmtId="0" fontId="19" fillId="0" borderId="0" xfId="0" applyFont="1" applyFill="1" applyAlignment="1">
      <alignment horizontal="right"/>
    </xf>
    <xf numFmtId="179" fontId="14" fillId="0" borderId="0" xfId="1" applyNumberFormat="1" applyFont="1" applyFill="1"/>
    <xf numFmtId="178" fontId="16" fillId="0" borderId="8" xfId="0" applyNumberFormat="1" applyFont="1" applyFill="1" applyBorder="1" applyAlignment="1"/>
    <xf numFmtId="178" fontId="16" fillId="0" borderId="3" xfId="0" applyNumberFormat="1" applyFont="1" applyFill="1" applyBorder="1" applyAlignment="1"/>
    <xf numFmtId="178" fontId="16" fillId="0" borderId="0" xfId="0" applyNumberFormat="1" applyFont="1" applyFill="1" applyBorder="1" applyAlignment="1"/>
    <xf numFmtId="178" fontId="16" fillId="0" borderId="47" xfId="0" applyNumberFormat="1" applyFont="1" applyFill="1" applyBorder="1" applyAlignment="1"/>
    <xf numFmtId="178" fontId="14" fillId="0" borderId="99" xfId="0" applyNumberFormat="1" applyFont="1" applyFill="1" applyBorder="1" applyAlignment="1"/>
    <xf numFmtId="178" fontId="16" fillId="0" borderId="43" xfId="0" applyNumberFormat="1" applyFont="1" applyFill="1" applyBorder="1" applyAlignment="1"/>
    <xf numFmtId="178" fontId="16" fillId="0" borderId="7" xfId="0" applyNumberFormat="1" applyFont="1" applyFill="1" applyBorder="1" applyAlignment="1"/>
    <xf numFmtId="178" fontId="16" fillId="0" borderId="12" xfId="0" applyNumberFormat="1" applyFont="1" applyFill="1" applyBorder="1" applyAlignment="1"/>
    <xf numFmtId="178" fontId="16" fillId="0" borderId="6" xfId="0" applyNumberFormat="1" applyFont="1" applyFill="1" applyBorder="1" applyAlignment="1"/>
    <xf numFmtId="178" fontId="16" fillId="0" borderId="45" xfId="0" applyNumberFormat="1" applyFont="1" applyFill="1" applyBorder="1" applyAlignment="1"/>
    <xf numFmtId="178" fontId="14" fillId="0" borderId="46" xfId="0" applyNumberFormat="1" applyFont="1" applyFill="1" applyBorder="1" applyAlignment="1" applyProtection="1">
      <protection locked="0"/>
    </xf>
    <xf numFmtId="178" fontId="14" fillId="0" borderId="49" xfId="0" applyNumberFormat="1" applyFont="1" applyFill="1" applyBorder="1" applyAlignment="1" applyProtection="1">
      <protection locked="0"/>
    </xf>
    <xf numFmtId="178" fontId="14" fillId="0" borderId="50" xfId="0" applyNumberFormat="1" applyFont="1" applyFill="1" applyBorder="1" applyAlignment="1" applyProtection="1">
      <protection locked="0"/>
    </xf>
    <xf numFmtId="178" fontId="14" fillId="0" borderId="48" xfId="0" applyNumberFormat="1" applyFont="1" applyFill="1" applyBorder="1" applyAlignment="1" applyProtection="1">
      <protection locked="0"/>
    </xf>
    <xf numFmtId="178" fontId="14" fillId="0" borderId="51" xfId="0" applyNumberFormat="1" applyFont="1" applyFill="1" applyBorder="1" applyAlignment="1" applyProtection="1">
      <protection locked="0"/>
    </xf>
    <xf numFmtId="0" fontId="14" fillId="0" borderId="3" xfId="0" applyNumberFormat="1" applyFont="1" applyFill="1" applyBorder="1" applyAlignment="1" applyProtection="1">
      <alignment horizontal="left" indent="2"/>
      <protection locked="0"/>
    </xf>
    <xf numFmtId="178" fontId="14" fillId="0" borderId="71" xfId="0" applyNumberFormat="1" applyFont="1" applyFill="1" applyBorder="1" applyAlignment="1" applyProtection="1">
      <protection locked="0"/>
    </xf>
    <xf numFmtId="178" fontId="14" fillId="0" borderId="72" xfId="0" applyNumberFormat="1" applyFont="1" applyFill="1" applyBorder="1" applyAlignment="1" applyProtection="1">
      <protection locked="0"/>
    </xf>
    <xf numFmtId="178" fontId="14" fillId="0" borderId="68" xfId="0" applyNumberFormat="1" applyFont="1" applyFill="1" applyBorder="1" applyAlignment="1" applyProtection="1">
      <protection locked="0"/>
    </xf>
    <xf numFmtId="178" fontId="14" fillId="0" borderId="73" xfId="0" applyNumberFormat="1" applyFont="1" applyFill="1" applyBorder="1" applyAlignment="1" applyProtection="1">
      <protection locked="0"/>
    </xf>
    <xf numFmtId="178" fontId="14" fillId="0" borderId="70" xfId="0" applyNumberFormat="1" applyFont="1" applyFill="1" applyBorder="1" applyAlignment="1" applyProtection="1">
      <protection locked="0"/>
    </xf>
    <xf numFmtId="0" fontId="19" fillId="0" borderId="3" xfId="0" applyNumberFormat="1" applyFont="1" applyFill="1" applyBorder="1" applyAlignment="1" applyProtection="1">
      <alignment horizontal="left" indent="2"/>
      <protection locked="0"/>
    </xf>
    <xf numFmtId="0" fontId="16" fillId="0" borderId="62" xfId="0" applyNumberFormat="1" applyFont="1" applyFill="1" applyBorder="1" applyAlignment="1">
      <alignment vertical="center"/>
    </xf>
    <xf numFmtId="0" fontId="14" fillId="0" borderId="60" xfId="0" applyNumberFormat="1" applyFont="1" applyFill="1" applyBorder="1" applyAlignment="1">
      <alignment horizontal="center" vertical="center"/>
    </xf>
    <xf numFmtId="178" fontId="16" fillId="0" borderId="60" xfId="0" applyNumberFormat="1" applyFont="1" applyFill="1" applyBorder="1" applyAlignment="1">
      <alignment vertical="center"/>
    </xf>
    <xf numFmtId="178" fontId="16" fillId="0" borderId="61" xfId="0" applyNumberFormat="1" applyFont="1" applyFill="1" applyBorder="1" applyAlignment="1">
      <alignment vertical="center"/>
    </xf>
    <xf numFmtId="178" fontId="16" fillId="0" borderId="62" xfId="0" applyNumberFormat="1" applyFont="1" applyFill="1" applyBorder="1" applyAlignment="1">
      <alignment vertical="center"/>
    </xf>
    <xf numFmtId="178" fontId="16" fillId="0" borderId="59" xfId="0" applyNumberFormat="1" applyFont="1" applyFill="1" applyBorder="1" applyAlignment="1">
      <alignment vertical="center"/>
    </xf>
    <xf numFmtId="178" fontId="16" fillId="0" borderId="63" xfId="0" applyNumberFormat="1" applyFont="1" applyFill="1" applyBorder="1" applyAlignment="1">
      <alignment vertical="center"/>
    </xf>
    <xf numFmtId="0" fontId="16" fillId="0" borderId="3" xfId="0" quotePrefix="1" applyNumberFormat="1" applyFont="1" applyFill="1" applyBorder="1" applyAlignment="1">
      <alignment horizontal="left" indent="1"/>
    </xf>
    <xf numFmtId="0" fontId="16" fillId="0" borderId="50" xfId="0" applyNumberFormat="1" applyFont="1" applyFill="1" applyBorder="1" applyAlignment="1">
      <alignment horizontal="left"/>
    </xf>
    <xf numFmtId="0" fontId="14" fillId="0" borderId="46" xfId="0" applyNumberFormat="1" applyFont="1" applyFill="1" applyBorder="1" applyAlignment="1">
      <alignment horizontal="center"/>
    </xf>
    <xf numFmtId="0" fontId="16" fillId="0" borderId="52" xfId="0" applyNumberFormat="1" applyFont="1" applyFill="1" applyBorder="1" applyAlignment="1">
      <alignment vertical="center"/>
    </xf>
    <xf numFmtId="0" fontId="14" fillId="0" borderId="53" xfId="0" applyNumberFormat="1" applyFont="1" applyFill="1" applyBorder="1" applyAlignment="1">
      <alignment horizontal="center" vertical="center"/>
    </xf>
    <xf numFmtId="178" fontId="16" fillId="0" borderId="53" xfId="0" applyNumberFormat="1" applyFont="1" applyFill="1" applyBorder="1" applyAlignment="1">
      <alignment vertical="center"/>
    </xf>
    <xf numFmtId="178" fontId="16" fillId="0" borderId="55" xfId="0" applyNumberFormat="1" applyFont="1" applyFill="1" applyBorder="1" applyAlignment="1">
      <alignment vertical="center"/>
    </xf>
    <xf numFmtId="178" fontId="16" fillId="0" borderId="52" xfId="0" applyNumberFormat="1" applyFont="1" applyFill="1" applyBorder="1" applyAlignment="1">
      <alignment vertical="center"/>
    </xf>
    <xf numFmtId="178" fontId="16" fillId="0" borderId="54" xfId="0" applyNumberFormat="1" applyFont="1" applyFill="1" applyBorder="1" applyAlignment="1">
      <alignment vertical="center"/>
    </xf>
    <xf numFmtId="178" fontId="16" fillId="0" borderId="56" xfId="0" applyNumberFormat="1" applyFont="1" applyFill="1" applyBorder="1" applyAlignment="1">
      <alignment vertical="center"/>
    </xf>
    <xf numFmtId="167" fontId="14" fillId="0" borderId="0" xfId="1" applyFont="1" applyFill="1" applyBorder="1" applyProtection="1">
      <protection locked="0"/>
    </xf>
    <xf numFmtId="0" fontId="14" fillId="0" borderId="3" xfId="0" applyNumberFormat="1" applyFont="1" applyFill="1" applyBorder="1" applyAlignment="1" applyProtection="1">
      <alignment horizontal="left" wrapText="1" indent="2"/>
      <protection locked="0"/>
    </xf>
    <xf numFmtId="0" fontId="16" fillId="0" borderId="88" xfId="0" applyNumberFormat="1" applyFont="1" applyFill="1" applyBorder="1" applyAlignment="1">
      <alignment horizontal="left"/>
    </xf>
    <xf numFmtId="0" fontId="14" fillId="0" borderId="101" xfId="0" applyNumberFormat="1" applyFont="1" applyFill="1" applyBorder="1" applyAlignment="1">
      <alignment horizontal="center" vertical="center"/>
    </xf>
    <xf numFmtId="178" fontId="14" fillId="0" borderId="42" xfId="1" applyNumberFormat="1" applyFont="1" applyFill="1" applyBorder="1" applyAlignment="1" applyProtection="1">
      <protection locked="0"/>
    </xf>
    <xf numFmtId="178" fontId="14" fillId="0" borderId="0" xfId="1" applyNumberFormat="1" applyFont="1" applyFill="1" applyBorder="1" applyAlignment="1" applyProtection="1">
      <protection locked="0"/>
    </xf>
    <xf numFmtId="178" fontId="14" fillId="0" borderId="3" xfId="1" applyNumberFormat="1" applyFont="1" applyFill="1" applyBorder="1" applyAlignment="1" applyProtection="1">
      <protection locked="0"/>
    </xf>
    <xf numFmtId="178" fontId="14" fillId="0" borderId="47" xfId="1" applyNumberFormat="1" applyFont="1" applyFill="1" applyBorder="1" applyAlignment="1" applyProtection="1">
      <protection locked="0"/>
    </xf>
    <xf numFmtId="178" fontId="14" fillId="0" borderId="8" xfId="1" applyNumberFormat="1" applyFont="1" applyFill="1" applyBorder="1" applyAlignment="1" applyProtection="1">
      <protection locked="0"/>
    </xf>
    <xf numFmtId="178" fontId="16" fillId="0" borderId="61" xfId="1" applyNumberFormat="1" applyFont="1" applyFill="1" applyBorder="1" applyAlignment="1"/>
    <xf numFmtId="178" fontId="16" fillId="0" borderId="62" xfId="1" applyNumberFormat="1" applyFont="1" applyFill="1" applyBorder="1" applyAlignment="1"/>
    <xf numFmtId="178" fontId="16" fillId="0" borderId="59" xfId="1" applyNumberFormat="1" applyFont="1" applyFill="1" applyBorder="1" applyAlignment="1"/>
    <xf numFmtId="178" fontId="16" fillId="0" borderId="63" xfId="1" applyNumberFormat="1" applyFont="1" applyFill="1" applyBorder="1" applyAlignment="1"/>
    <xf numFmtId="178" fontId="14" fillId="0" borderId="3" xfId="1" applyNumberFormat="1" applyFont="1" applyFill="1" applyBorder="1" applyAlignment="1"/>
    <xf numFmtId="178" fontId="14" fillId="0" borderId="47" xfId="1" applyNumberFormat="1" applyFont="1" applyFill="1" applyBorder="1" applyAlignment="1"/>
    <xf numFmtId="178" fontId="14" fillId="0" borderId="8" xfId="1" applyNumberFormat="1" applyFont="1" applyFill="1" applyBorder="1" applyAlignment="1"/>
    <xf numFmtId="178" fontId="16" fillId="0" borderId="60" xfId="0" applyNumberFormat="1" applyFont="1" applyFill="1" applyBorder="1" applyAlignment="1"/>
    <xf numFmtId="178" fontId="16" fillId="0" borderId="61" xfId="0" applyNumberFormat="1" applyFont="1" applyFill="1" applyBorder="1" applyAlignment="1"/>
    <xf numFmtId="178" fontId="16" fillId="0" borderId="62" xfId="0" applyNumberFormat="1" applyFont="1" applyFill="1" applyBorder="1" applyAlignment="1"/>
    <xf numFmtId="178" fontId="16" fillId="0" borderId="59" xfId="0" applyNumberFormat="1" applyFont="1" applyFill="1" applyBorder="1" applyAlignment="1"/>
    <xf numFmtId="178" fontId="16" fillId="0" borderId="63" xfId="0" applyNumberFormat="1" applyFont="1" applyFill="1" applyBorder="1" applyAlignment="1"/>
    <xf numFmtId="178" fontId="16" fillId="0" borderId="71" xfId="0" applyNumberFormat="1" applyFont="1" applyFill="1" applyBorder="1" applyAlignment="1"/>
    <xf numFmtId="178" fontId="16" fillId="0" borderId="72" xfId="0" applyNumberFormat="1" applyFont="1" applyFill="1" applyBorder="1" applyAlignment="1"/>
    <xf numFmtId="178" fontId="16" fillId="0" borderId="68" xfId="0" applyNumberFormat="1" applyFont="1" applyFill="1" applyBorder="1" applyAlignment="1"/>
    <xf numFmtId="178" fontId="16" fillId="0" borderId="73" xfId="0" applyNumberFormat="1" applyFont="1" applyFill="1" applyBorder="1" applyAlignment="1"/>
    <xf numFmtId="178" fontId="16" fillId="0" borderId="70" xfId="0" applyNumberFormat="1" applyFont="1" applyFill="1" applyBorder="1" applyAlignment="1"/>
    <xf numFmtId="0" fontId="19" fillId="0" borderId="0" xfId="0" applyFont="1" applyFill="1" applyProtection="1">
      <protection locked="0"/>
    </xf>
    <xf numFmtId="0" fontId="14" fillId="0" borderId="0" xfId="0" applyFont="1" applyFill="1" applyBorder="1" applyAlignment="1">
      <alignment horizontal="left" wrapText="1"/>
    </xf>
    <xf numFmtId="0" fontId="19" fillId="0" borderId="3" xfId="0" applyNumberFormat="1" applyFont="1" applyFill="1" applyBorder="1" applyAlignment="1" applyProtection="1">
      <alignment horizontal="left" indent="1"/>
      <protection locked="0"/>
    </xf>
    <xf numFmtId="0" fontId="16" fillId="0" borderId="3" xfId="0" applyNumberFormat="1" applyFont="1" applyFill="1" applyBorder="1" applyAlignment="1" applyProtection="1">
      <alignment horizontal="left" indent="1"/>
      <protection locked="0"/>
    </xf>
    <xf numFmtId="0" fontId="4" fillId="0" borderId="0" xfId="8" applyFont="1" applyFill="1" applyProtection="1">
      <protection locked="0"/>
    </xf>
    <xf numFmtId="0" fontId="4" fillId="0" borderId="0" xfId="8" applyFont="1" applyFill="1"/>
    <xf numFmtId="0" fontId="18" fillId="0" borderId="11" xfId="0" applyNumberFormat="1" applyFont="1" applyFill="1" applyBorder="1"/>
    <xf numFmtId="0" fontId="14" fillId="0" borderId="45" xfId="0" applyNumberFormat="1" applyFont="1" applyFill="1" applyBorder="1" applyAlignment="1">
      <alignment horizontal="center"/>
    </xf>
    <xf numFmtId="178" fontId="14" fillId="0" borderId="7" xfId="0" applyNumberFormat="1" applyFont="1" applyFill="1" applyBorder="1"/>
    <xf numFmtId="178" fontId="14" fillId="0" borderId="12" xfId="0" applyNumberFormat="1" applyFont="1" applyFill="1" applyBorder="1"/>
    <xf numFmtId="178" fontId="14" fillId="0" borderId="66" xfId="0" applyNumberFormat="1" applyFont="1" applyFill="1" applyBorder="1"/>
    <xf numFmtId="178" fontId="14" fillId="0" borderId="11" xfId="0" applyNumberFormat="1" applyFont="1" applyFill="1" applyBorder="1"/>
    <xf numFmtId="178" fontId="14" fillId="0" borderId="6" xfId="0" applyNumberFormat="1" applyFont="1" applyFill="1" applyBorder="1"/>
    <xf numFmtId="0" fontId="20" fillId="0" borderId="0" xfId="0" applyFont="1" applyFill="1" applyBorder="1"/>
    <xf numFmtId="0" fontId="19" fillId="0" borderId="0" xfId="0" applyFont="1" applyFill="1" applyBorder="1" applyAlignment="1">
      <alignment horizontal="left"/>
    </xf>
    <xf numFmtId="0" fontId="14" fillId="0" borderId="8" xfId="0" applyNumberFormat="1" applyFont="1" applyFill="1" applyBorder="1" applyAlignment="1">
      <alignment horizontal="center"/>
    </xf>
    <xf numFmtId="0" fontId="14" fillId="0" borderId="3" xfId="0" applyNumberFormat="1" applyFont="1" applyFill="1" applyBorder="1" applyAlignment="1">
      <alignment horizontal="center"/>
    </xf>
    <xf numFmtId="183" fontId="16" fillId="0" borderId="42" xfId="6" applyNumberFormat="1" applyFont="1" applyFill="1" applyBorder="1" applyAlignment="1">
      <alignment horizontal="center"/>
    </xf>
    <xf numFmtId="183" fontId="16" fillId="0" borderId="76" xfId="6" applyNumberFormat="1" applyFont="1" applyFill="1" applyBorder="1" applyAlignment="1">
      <alignment horizontal="center"/>
    </xf>
    <xf numFmtId="183" fontId="16" fillId="0" borderId="99" xfId="6" applyNumberFormat="1" applyFont="1" applyFill="1" applyBorder="1" applyAlignment="1">
      <alignment horizontal="center"/>
    </xf>
    <xf numFmtId="183" fontId="16" fillId="0" borderId="8" xfId="6" applyNumberFormat="1" applyFont="1" applyFill="1" applyBorder="1" applyAlignment="1">
      <alignment horizontal="center"/>
    </xf>
    <xf numFmtId="183" fontId="16" fillId="0" borderId="3" xfId="6" applyNumberFormat="1" applyFont="1" applyFill="1" applyBorder="1" applyAlignment="1">
      <alignment horizontal="center"/>
    </xf>
    <xf numFmtId="183" fontId="16" fillId="0" borderId="0" xfId="6" applyNumberFormat="1" applyFont="1" applyFill="1" applyBorder="1" applyAlignment="1">
      <alignment horizontal="center"/>
    </xf>
    <xf numFmtId="183" fontId="14" fillId="0" borderId="42" xfId="0" applyNumberFormat="1" applyFont="1" applyFill="1" applyBorder="1"/>
    <xf numFmtId="9" fontId="16" fillId="0" borderId="42" xfId="6" applyFont="1" applyFill="1" applyBorder="1" applyAlignment="1">
      <alignment horizontal="center"/>
    </xf>
    <xf numFmtId="9" fontId="16" fillId="0" borderId="8" xfId="6" applyFont="1" applyFill="1" applyBorder="1" applyAlignment="1">
      <alignment horizontal="center"/>
    </xf>
    <xf numFmtId="9" fontId="16" fillId="0" borderId="3" xfId="6" applyFont="1" applyFill="1" applyBorder="1" applyAlignment="1">
      <alignment horizontal="center"/>
    </xf>
    <xf numFmtId="9" fontId="16" fillId="0" borderId="0" xfId="6" applyFont="1" applyFill="1" applyBorder="1" applyAlignment="1">
      <alignment horizontal="center"/>
    </xf>
    <xf numFmtId="0" fontId="25" fillId="0" borderId="36" xfId="0" applyFont="1" applyFill="1" applyBorder="1" applyAlignment="1"/>
    <xf numFmtId="179" fontId="14" fillId="0" borderId="42" xfId="1" applyNumberFormat="1" applyFont="1" applyFill="1" applyBorder="1" applyAlignment="1" applyProtection="1">
      <alignment horizontal="center"/>
      <protection locked="0"/>
    </xf>
    <xf numFmtId="179" fontId="16" fillId="0" borderId="87" xfId="1" applyNumberFormat="1" applyFont="1" applyFill="1" applyBorder="1"/>
    <xf numFmtId="0" fontId="16" fillId="0" borderId="52" xfId="0" applyNumberFormat="1" applyFont="1" applyFill="1" applyBorder="1" applyAlignment="1">
      <alignment vertical="center" wrapText="1"/>
    </xf>
    <xf numFmtId="179" fontId="16" fillId="0" borderId="53" xfId="1" applyNumberFormat="1" applyFont="1" applyFill="1" applyBorder="1" applyAlignment="1">
      <alignment horizontal="center" vertical="center"/>
    </xf>
    <xf numFmtId="179" fontId="16" fillId="0" borderId="53" xfId="1" applyNumberFormat="1" applyFont="1" applyFill="1" applyBorder="1" applyAlignment="1">
      <alignment vertical="center"/>
    </xf>
    <xf numFmtId="179" fontId="16" fillId="0" borderId="55" xfId="1" applyNumberFormat="1" applyFont="1" applyFill="1" applyBorder="1" applyAlignment="1">
      <alignment vertical="center"/>
    </xf>
    <xf numFmtId="179" fontId="16" fillId="0" borderId="88" xfId="1" applyNumberFormat="1" applyFont="1" applyFill="1" applyBorder="1" applyAlignment="1">
      <alignment vertical="center"/>
    </xf>
    <xf numFmtId="178" fontId="16" fillId="0" borderId="50" xfId="0" applyNumberFormat="1" applyFont="1" applyFill="1" applyBorder="1" applyAlignment="1">
      <alignment vertical="center"/>
    </xf>
    <xf numFmtId="178" fontId="16" fillId="0" borderId="46" xfId="0" applyNumberFormat="1" applyFont="1" applyFill="1" applyBorder="1" applyAlignment="1">
      <alignment vertical="center"/>
    </xf>
    <xf numFmtId="178" fontId="16" fillId="0" borderId="79" xfId="0" applyNumberFormat="1" applyFont="1" applyFill="1" applyBorder="1" applyAlignment="1">
      <alignment vertical="center"/>
    </xf>
    <xf numFmtId="178" fontId="16" fillId="0" borderId="49" xfId="0" applyNumberFormat="1" applyFont="1" applyFill="1" applyBorder="1" applyAlignment="1">
      <alignment vertical="center"/>
    </xf>
    <xf numFmtId="167" fontId="14" fillId="0" borderId="0" xfId="0" applyNumberFormat="1" applyFont="1" applyFill="1"/>
    <xf numFmtId="168" fontId="19" fillId="0" borderId="0" xfId="1" applyNumberFormat="1" applyFont="1" applyFill="1"/>
    <xf numFmtId="167" fontId="14" fillId="0" borderId="0" xfId="1" applyFont="1" applyFill="1"/>
    <xf numFmtId="0" fontId="14" fillId="0" borderId="12" xfId="0" applyNumberFormat="1" applyFont="1" applyFill="1" applyBorder="1" applyAlignment="1">
      <alignment horizontal="center"/>
    </xf>
    <xf numFmtId="178" fontId="14" fillId="0" borderId="50" xfId="0" applyNumberFormat="1" applyFont="1" applyFill="1" applyBorder="1" applyProtection="1">
      <protection locked="0"/>
    </xf>
    <xf numFmtId="0" fontId="18" fillId="0" borderId="12" xfId="0" applyNumberFormat="1" applyFont="1" applyFill="1" applyBorder="1"/>
    <xf numFmtId="178" fontId="16" fillId="0" borderId="43" xfId="0" applyNumberFormat="1" applyFont="1" applyFill="1" applyBorder="1" applyAlignment="1" applyProtection="1">
      <alignment horizontal="center"/>
    </xf>
    <xf numFmtId="178" fontId="14" fillId="0" borderId="49" xfId="0" applyNumberFormat="1" applyFont="1" applyFill="1" applyBorder="1" applyProtection="1">
      <protection locked="0"/>
    </xf>
    <xf numFmtId="178" fontId="14" fillId="0" borderId="48" xfId="0" applyNumberFormat="1" applyFont="1" applyFill="1" applyBorder="1" applyProtection="1">
      <protection locked="0"/>
    </xf>
    <xf numFmtId="178" fontId="14" fillId="0" borderId="72" xfId="0" applyNumberFormat="1" applyFont="1" applyFill="1" applyBorder="1" applyProtection="1">
      <protection locked="0"/>
    </xf>
    <xf numFmtId="178" fontId="14" fillId="0" borderId="68" xfId="0" applyNumberFormat="1" applyFont="1" applyFill="1" applyBorder="1" applyProtection="1">
      <protection locked="0"/>
    </xf>
    <xf numFmtId="178" fontId="14" fillId="0" borderId="73" xfId="0" applyNumberFormat="1" applyFont="1" applyFill="1" applyBorder="1" applyProtection="1">
      <protection locked="0"/>
    </xf>
    <xf numFmtId="178" fontId="16" fillId="0" borderId="49" xfId="0" applyNumberFormat="1" applyFont="1" applyFill="1" applyBorder="1" applyProtection="1">
      <protection locked="0"/>
    </xf>
    <xf numFmtId="178" fontId="16" fillId="0" borderId="50" xfId="0" applyNumberFormat="1" applyFont="1" applyFill="1" applyBorder="1" applyProtection="1">
      <protection locked="0"/>
    </xf>
    <xf numFmtId="178" fontId="16" fillId="0" borderId="48" xfId="0" applyNumberFormat="1" applyFont="1" applyFill="1" applyBorder="1" applyProtection="1">
      <protection locked="0"/>
    </xf>
    <xf numFmtId="178" fontId="16" fillId="0" borderId="72" xfId="0" applyNumberFormat="1" applyFont="1" applyFill="1" applyBorder="1" applyProtection="1">
      <protection locked="0"/>
    </xf>
    <xf numFmtId="178" fontId="16" fillId="0" borderId="68" xfId="0" applyNumberFormat="1" applyFont="1" applyFill="1" applyBorder="1" applyProtection="1">
      <protection locked="0"/>
    </xf>
    <xf numFmtId="178" fontId="16" fillId="0" borderId="73" xfId="0" applyNumberFormat="1" applyFont="1" applyFill="1" applyBorder="1" applyProtection="1">
      <protection locked="0"/>
    </xf>
    <xf numFmtId="0" fontId="14" fillId="0" borderId="53" xfId="0" applyNumberFormat="1" applyFont="1" applyFill="1" applyBorder="1" applyAlignment="1">
      <alignment horizontal="center"/>
    </xf>
    <xf numFmtId="0" fontId="18" fillId="0" borderId="12" xfId="0" applyFont="1" applyFill="1" applyBorder="1"/>
    <xf numFmtId="0" fontId="14" fillId="0" borderId="11" xfId="0" applyFont="1" applyFill="1" applyBorder="1" applyAlignment="1">
      <alignment horizontal="center"/>
    </xf>
    <xf numFmtId="178" fontId="16" fillId="0" borderId="75" xfId="0" applyNumberFormat="1" applyFont="1" applyFill="1" applyBorder="1"/>
    <xf numFmtId="0" fontId="14" fillId="0" borderId="4" xfId="0" applyFont="1" applyFill="1" applyBorder="1" applyAlignment="1">
      <alignment horizontal="left" indent="1"/>
    </xf>
    <xf numFmtId="178" fontId="14" fillId="0" borderId="77" xfId="0" applyNumberFormat="1" applyFont="1" applyFill="1" applyBorder="1" applyProtection="1">
      <protection locked="0"/>
    </xf>
    <xf numFmtId="0" fontId="19" fillId="0" borderId="0" xfId="0" applyNumberFormat="1" applyFont="1" applyFill="1" applyBorder="1" applyProtection="1">
      <protection locked="0"/>
    </xf>
    <xf numFmtId="0" fontId="16" fillId="0" borderId="35" xfId="0" applyNumberFormat="1" applyFont="1" applyFill="1" applyBorder="1"/>
    <xf numFmtId="0" fontId="14" fillId="0" borderId="35" xfId="0" applyNumberFormat="1" applyFont="1" applyFill="1" applyBorder="1" applyAlignment="1">
      <alignment horizontal="center"/>
    </xf>
    <xf numFmtId="0" fontId="14" fillId="0" borderId="75" xfId="0" applyFont="1" applyFill="1" applyBorder="1" applyAlignment="1">
      <alignment horizontal="center"/>
    </xf>
    <xf numFmtId="0" fontId="14" fillId="0" borderId="76" xfId="0" applyFont="1" applyFill="1" applyBorder="1" applyAlignment="1">
      <alignment horizontal="center"/>
    </xf>
    <xf numFmtId="0" fontId="14" fillId="0" borderId="77" xfId="0" applyFont="1" applyFill="1" applyBorder="1" applyAlignment="1">
      <alignment horizontal="center"/>
    </xf>
    <xf numFmtId="0" fontId="17" fillId="0" borderId="12" xfId="0" applyNumberFormat="1" applyFont="1" applyFill="1" applyBorder="1"/>
    <xf numFmtId="0" fontId="17" fillId="0" borderId="4" xfId="0" applyNumberFormat="1" applyFont="1" applyFill="1" applyBorder="1"/>
    <xf numFmtId="0" fontId="19" fillId="0" borderId="36" xfId="0" applyNumberFormat="1" applyFont="1" applyFill="1" applyBorder="1" applyAlignment="1">
      <alignment horizontal="center"/>
    </xf>
    <xf numFmtId="0" fontId="16" fillId="0" borderId="6" xfId="0" applyNumberFormat="1" applyFont="1" applyFill="1" applyBorder="1" applyAlignment="1">
      <alignment horizontal="center"/>
    </xf>
    <xf numFmtId="0" fontId="16" fillId="0" borderId="75" xfId="0" applyNumberFormat="1" applyFont="1" applyFill="1" applyBorder="1" applyAlignment="1">
      <alignment horizontal="center"/>
    </xf>
    <xf numFmtId="178" fontId="16" fillId="0" borderId="47" xfId="0" applyNumberFormat="1" applyFont="1" applyFill="1" applyBorder="1" applyAlignment="1" applyProtection="1">
      <alignment horizontal="center"/>
      <protection locked="0"/>
    </xf>
    <xf numFmtId="178" fontId="16" fillId="0" borderId="42" xfId="0" applyNumberFormat="1" applyFont="1" applyFill="1" applyBorder="1" applyAlignment="1" applyProtection="1">
      <alignment horizontal="center"/>
      <protection locked="0"/>
    </xf>
    <xf numFmtId="178" fontId="16" fillId="0" borderId="0" xfId="0" applyNumberFormat="1" applyFont="1" applyFill="1" applyBorder="1" applyAlignment="1" applyProtection="1">
      <alignment horizontal="center"/>
      <protection locked="0"/>
    </xf>
    <xf numFmtId="178" fontId="16" fillId="0" borderId="3" xfId="0" applyNumberFormat="1" applyFont="1" applyFill="1" applyBorder="1" applyAlignment="1" applyProtection="1">
      <alignment horizontal="center"/>
      <protection locked="0"/>
    </xf>
    <xf numFmtId="178" fontId="16" fillId="0" borderId="8" xfId="0" applyNumberFormat="1" applyFont="1" applyFill="1" applyBorder="1" applyAlignment="1" applyProtection="1">
      <alignment horizontal="center"/>
      <protection locked="0"/>
    </xf>
    <xf numFmtId="0" fontId="16" fillId="0" borderId="0" xfId="0" applyNumberFormat="1" applyFont="1" applyFill="1" applyBorder="1" applyAlignment="1" applyProtection="1">
      <alignment horizontal="center"/>
      <protection locked="0"/>
    </xf>
    <xf numFmtId="0" fontId="16" fillId="0" borderId="76" xfId="0" applyNumberFormat="1" applyFont="1" applyFill="1" applyBorder="1" applyAlignment="1" applyProtection="1">
      <alignment horizontal="center"/>
      <protection locked="0"/>
    </xf>
    <xf numFmtId="179" fontId="16" fillId="0" borderId="42" xfId="116" applyNumberFormat="1" applyFont="1" applyFill="1" applyBorder="1" applyAlignment="1" applyProtection="1">
      <alignment horizontal="center"/>
      <protection locked="0"/>
    </xf>
    <xf numFmtId="0" fontId="19" fillId="0" borderId="42" xfId="0" applyNumberFormat="1" applyFont="1" applyFill="1" applyBorder="1" applyAlignment="1" applyProtection="1">
      <alignment horizontal="center"/>
      <protection locked="0"/>
    </xf>
    <xf numFmtId="0" fontId="19" fillId="0" borderId="8" xfId="0" applyNumberFormat="1" applyFont="1" applyFill="1" applyBorder="1" applyAlignment="1" applyProtection="1">
      <alignment horizontal="center"/>
      <protection locked="0"/>
    </xf>
    <xf numFmtId="0" fontId="19" fillId="0" borderId="76" xfId="0" applyNumberFormat="1" applyFont="1" applyFill="1" applyBorder="1" applyAlignment="1" applyProtection="1">
      <alignment horizontal="center"/>
      <protection locked="0"/>
    </xf>
    <xf numFmtId="0" fontId="14" fillId="0" borderId="0" xfId="0" applyNumberFormat="1" applyFont="1" applyFill="1" applyBorder="1" applyProtection="1">
      <protection locked="0"/>
    </xf>
    <xf numFmtId="0" fontId="14" fillId="0" borderId="76" xfId="0" applyNumberFormat="1" applyFont="1" applyFill="1" applyBorder="1" applyProtection="1">
      <protection locked="0"/>
    </xf>
    <xf numFmtId="0" fontId="14" fillId="0" borderId="3" xfId="0" applyNumberFormat="1" applyFont="1" applyFill="1" applyBorder="1" applyProtection="1">
      <protection locked="0"/>
    </xf>
    <xf numFmtId="0" fontId="14" fillId="0" borderId="42" xfId="0" applyNumberFormat="1" applyFont="1" applyFill="1" applyBorder="1" applyProtection="1">
      <protection locked="0"/>
    </xf>
    <xf numFmtId="0" fontId="19" fillId="0" borderId="0" xfId="0" applyNumberFormat="1" applyFont="1" applyFill="1" applyBorder="1" applyAlignment="1" applyProtection="1">
      <alignment horizontal="center"/>
      <protection locked="0"/>
    </xf>
    <xf numFmtId="172" fontId="16" fillId="0" borderId="60" xfId="0" applyNumberFormat="1" applyFont="1" applyFill="1" applyBorder="1"/>
    <xf numFmtId="179" fontId="16" fillId="0" borderId="60" xfId="0" applyNumberFormat="1" applyFont="1" applyFill="1" applyBorder="1"/>
    <xf numFmtId="0" fontId="16" fillId="0" borderId="60" xfId="0" applyNumberFormat="1" applyFont="1" applyFill="1" applyBorder="1"/>
    <xf numFmtId="0" fontId="16" fillId="0" borderId="59" xfId="0" applyNumberFormat="1" applyFont="1" applyFill="1" applyBorder="1"/>
    <xf numFmtId="0" fontId="16" fillId="0" borderId="86" xfId="0" applyNumberFormat="1" applyFont="1" applyFill="1" applyBorder="1"/>
    <xf numFmtId="178" fontId="16" fillId="0" borderId="86" xfId="0" applyNumberFormat="1" applyFont="1" applyFill="1" applyBorder="1"/>
    <xf numFmtId="172" fontId="16" fillId="0" borderId="63" xfId="0" applyNumberFormat="1" applyFont="1" applyFill="1" applyBorder="1"/>
    <xf numFmtId="172" fontId="16" fillId="0" borderId="61" xfId="0" applyNumberFormat="1" applyFont="1" applyFill="1" applyBorder="1"/>
    <xf numFmtId="0" fontId="16" fillId="0" borderId="76" xfId="0" applyNumberFormat="1" applyFont="1" applyFill="1" applyBorder="1" applyAlignment="1">
      <alignment horizontal="center"/>
    </xf>
    <xf numFmtId="0" fontId="16" fillId="0" borderId="3" xfId="0" applyNumberFormat="1" applyFont="1" applyFill="1" applyBorder="1" applyProtection="1">
      <protection locked="0"/>
    </xf>
    <xf numFmtId="172" fontId="16" fillId="0" borderId="105" xfId="0" applyNumberFormat="1" applyFont="1" applyFill="1" applyBorder="1"/>
    <xf numFmtId="172" fontId="16" fillId="0" borderId="102" xfId="0" applyNumberFormat="1" applyFont="1" applyFill="1" applyBorder="1"/>
    <xf numFmtId="172" fontId="16" fillId="0" borderId="59" xfId="0" applyNumberFormat="1" applyFont="1" applyFill="1" applyBorder="1"/>
    <xf numFmtId="172" fontId="16" fillId="0" borderId="50" xfId="0" applyNumberFormat="1" applyFont="1" applyFill="1" applyBorder="1"/>
    <xf numFmtId="172" fontId="16" fillId="0" borderId="48" xfId="0" applyNumberFormat="1" applyFont="1" applyFill="1" applyBorder="1"/>
    <xf numFmtId="172" fontId="16" fillId="0" borderId="56" xfId="0" applyNumberFormat="1" applyFont="1" applyFill="1" applyBorder="1"/>
    <xf numFmtId="0" fontId="7" fillId="13" borderId="17" xfId="0" applyFont="1" applyFill="1" applyBorder="1" applyAlignment="1" applyProtection="1">
      <alignment horizontal="left"/>
    </xf>
    <xf numFmtId="0" fontId="7" fillId="13" borderId="35" xfId="0" applyFont="1" applyFill="1" applyBorder="1" applyAlignment="1" applyProtection="1">
      <alignment horizontal="left"/>
    </xf>
    <xf numFmtId="0" fontId="7" fillId="13" borderId="34" xfId="0" applyFont="1" applyFill="1" applyBorder="1" applyAlignment="1" applyProtection="1">
      <alignment horizontal="left"/>
    </xf>
    <xf numFmtId="0" fontId="7" fillId="5" borderId="17" xfId="0" applyFont="1" applyFill="1" applyBorder="1" applyAlignment="1" applyProtection="1">
      <alignment horizontal="left"/>
    </xf>
    <xf numFmtId="0" fontId="7" fillId="5" borderId="34" xfId="0" applyFont="1" applyFill="1" applyBorder="1" applyAlignment="1" applyProtection="1">
      <alignment horizontal="left"/>
    </xf>
    <xf numFmtId="0" fontId="7" fillId="6" borderId="17" xfId="0" applyFont="1" applyFill="1" applyBorder="1" applyAlignment="1" applyProtection="1">
      <alignment horizontal="center"/>
    </xf>
    <xf numFmtId="0" fontId="7" fillId="6" borderId="34" xfId="0" applyFont="1" applyFill="1" applyBorder="1" applyAlignment="1" applyProtection="1">
      <alignment horizontal="center"/>
    </xf>
    <xf numFmtId="0" fontId="7" fillId="10" borderId="17" xfId="0" applyFont="1" applyFill="1" applyBorder="1" applyAlignment="1" applyProtection="1">
      <alignment horizontal="center"/>
    </xf>
    <xf numFmtId="0" fontId="7" fillId="10" borderId="34" xfId="0" applyFont="1" applyFill="1" applyBorder="1" applyAlignment="1" applyProtection="1">
      <alignment horizontal="center"/>
    </xf>
    <xf numFmtId="0" fontId="7" fillId="5" borderId="35" xfId="0" applyFont="1" applyFill="1" applyBorder="1" applyAlignment="1" applyProtection="1">
      <alignment horizontal="left"/>
    </xf>
    <xf numFmtId="0" fontId="11" fillId="0" borderId="0" xfId="0" applyFont="1" applyBorder="1" applyAlignment="1" applyProtection="1">
      <alignment horizontal="justify" vertical="top" wrapText="1"/>
    </xf>
    <xf numFmtId="0" fontId="34" fillId="0" borderId="120" xfId="0" applyFont="1" applyBorder="1" applyAlignment="1" applyProtection="1">
      <alignment horizontal="justify" vertical="center" wrapText="1"/>
    </xf>
    <xf numFmtId="0" fontId="33" fillId="0" borderId="120" xfId="0" applyFont="1" applyBorder="1" applyAlignment="1">
      <alignment horizontal="justify" vertical="center" wrapText="1"/>
    </xf>
    <xf numFmtId="0" fontId="34" fillId="0" borderId="121" xfId="0" applyFont="1" applyBorder="1" applyAlignment="1" applyProtection="1">
      <alignment horizontal="justify" vertical="center"/>
    </xf>
    <xf numFmtId="0" fontId="9" fillId="0" borderId="122" xfId="0" applyFont="1" applyBorder="1" applyAlignment="1">
      <alignment horizontal="justify" vertical="center"/>
    </xf>
    <xf numFmtId="0" fontId="19" fillId="0" borderId="0" xfId="0" applyFont="1" applyBorder="1" applyAlignment="1" applyProtection="1">
      <alignment horizontal="left" vertical="top" wrapText="1"/>
    </xf>
    <xf numFmtId="0" fontId="9" fillId="0" borderId="0" xfId="0" applyFont="1" applyBorder="1" applyAlignment="1" applyProtection="1">
      <alignment horizontal="left" vertical="top" wrapText="1"/>
    </xf>
    <xf numFmtId="0" fontId="9" fillId="0" borderId="0" xfId="0" applyFont="1" applyBorder="1" applyAlignment="1" applyProtection="1">
      <alignment horizontal="justify" vertical="top" wrapText="1"/>
    </xf>
    <xf numFmtId="0" fontId="11" fillId="0" borderId="17" xfId="0" applyFont="1" applyBorder="1" applyAlignment="1" applyProtection="1">
      <alignment horizontal="justify" wrapText="1"/>
    </xf>
    <xf numFmtId="0" fontId="9" fillId="0" borderId="34" xfId="0" applyFont="1" applyBorder="1" applyAlignment="1">
      <alignment horizontal="justify" wrapText="1"/>
    </xf>
    <xf numFmtId="0" fontId="11" fillId="0" borderId="121" xfId="0" applyFont="1" applyBorder="1" applyAlignment="1" applyProtection="1">
      <alignment horizontal="justify" vertical="center" wrapText="1"/>
    </xf>
    <xf numFmtId="0" fontId="9" fillId="0" borderId="122" xfId="0" applyFont="1" applyBorder="1" applyAlignment="1">
      <alignment horizontal="justify" vertical="center" wrapText="1"/>
    </xf>
    <xf numFmtId="0" fontId="11" fillId="0" borderId="3" xfId="0" applyFont="1" applyFill="1" applyBorder="1" applyAlignment="1" applyProtection="1">
      <alignment horizontal="justify" wrapText="1"/>
    </xf>
    <xf numFmtId="0" fontId="9" fillId="0" borderId="8" xfId="0" applyFont="1" applyFill="1" applyBorder="1" applyAlignment="1">
      <alignment horizontal="justify" wrapText="1"/>
    </xf>
    <xf numFmtId="0" fontId="34" fillId="0" borderId="125" xfId="0" applyFont="1" applyBorder="1" applyAlignment="1" applyProtection="1">
      <alignment horizontal="justify" vertical="center" wrapText="1"/>
    </xf>
    <xf numFmtId="0" fontId="33" fillId="0" borderId="126" xfId="0" applyFont="1" applyBorder="1" applyAlignment="1">
      <alignment horizontal="justify" vertical="center" wrapText="1"/>
    </xf>
    <xf numFmtId="0" fontId="11" fillId="0" borderId="12" xfId="0" applyFont="1" applyFill="1" applyBorder="1" applyAlignment="1" applyProtection="1">
      <alignment horizontal="justify" wrapText="1"/>
    </xf>
    <xf numFmtId="0" fontId="9" fillId="0" borderId="7" xfId="0" applyFont="1" applyFill="1" applyBorder="1" applyAlignment="1">
      <alignment horizontal="justify" wrapText="1"/>
    </xf>
    <xf numFmtId="0" fontId="11" fillId="0" borderId="123" xfId="0" applyFont="1" applyBorder="1" applyAlignment="1" applyProtection="1">
      <alignment horizontal="justify" wrapText="1"/>
    </xf>
    <xf numFmtId="0" fontId="9" fillId="0" borderId="124" xfId="0" applyFont="1" applyBorder="1" applyAlignment="1">
      <alignment horizontal="justify" wrapText="1"/>
    </xf>
    <xf numFmtId="0" fontId="11" fillId="0" borderId="125" xfId="0" applyFont="1" applyBorder="1" applyAlignment="1" applyProtection="1">
      <alignment horizontal="justify" vertical="center" wrapText="1"/>
    </xf>
    <xf numFmtId="0" fontId="9" fillId="0" borderId="126" xfId="0" applyFont="1" applyBorder="1" applyAlignment="1">
      <alignment horizontal="justify" vertical="center" wrapText="1"/>
    </xf>
    <xf numFmtId="0" fontId="16" fillId="0" borderId="38"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0" fontId="16" fillId="0" borderId="38" xfId="0" applyFont="1" applyFill="1" applyBorder="1" applyAlignment="1">
      <alignment horizontal="center" vertical="center"/>
    </xf>
    <xf numFmtId="0" fontId="16" fillId="0" borderId="39" xfId="0" applyFont="1" applyFill="1" applyBorder="1" applyAlignment="1">
      <alignment horizontal="center" vertical="center"/>
    </xf>
    <xf numFmtId="0" fontId="11" fillId="0" borderId="9" xfId="0" applyFont="1" applyFill="1" applyBorder="1" applyAlignment="1">
      <alignment horizontal="left"/>
    </xf>
    <xf numFmtId="0" fontId="25" fillId="0" borderId="9" xfId="0" applyFont="1" applyBorder="1" applyAlignment="1"/>
    <xf numFmtId="0" fontId="19" fillId="0" borderId="0" xfId="0" applyFont="1" applyFill="1" applyBorder="1" applyAlignment="1" applyProtection="1">
      <alignment horizontal="left" vertical="top" wrapText="1"/>
    </xf>
    <xf numFmtId="0" fontId="16" fillId="0" borderId="40" xfId="0" applyFont="1" applyFill="1" applyBorder="1" applyAlignment="1">
      <alignment horizontal="center" vertical="center"/>
    </xf>
    <xf numFmtId="0" fontId="16" fillId="0" borderId="38" xfId="0" applyFont="1" applyFill="1" applyBorder="1" applyAlignment="1" applyProtection="1">
      <alignment horizontal="center" vertical="center"/>
    </xf>
    <xf numFmtId="0" fontId="16" fillId="0" borderId="39" xfId="0" applyFont="1" applyFill="1" applyBorder="1" applyAlignment="1" applyProtection="1">
      <alignment horizontal="center" vertical="center"/>
    </xf>
    <xf numFmtId="0" fontId="16" fillId="0" borderId="38" xfId="0" applyFont="1" applyFill="1" applyBorder="1" applyAlignment="1" applyProtection="1">
      <alignment horizontal="center" vertical="center" wrapText="1"/>
    </xf>
    <xf numFmtId="0" fontId="16" fillId="0" borderId="39" xfId="0" applyFont="1" applyFill="1" applyBorder="1" applyAlignment="1" applyProtection="1">
      <alignment horizontal="center" vertical="center" wrapText="1"/>
    </xf>
    <xf numFmtId="0" fontId="16" fillId="0" borderId="40" xfId="0" applyFont="1" applyFill="1" applyBorder="1" applyAlignment="1" applyProtection="1">
      <alignment horizontal="center" vertical="center" wrapText="1"/>
    </xf>
    <xf numFmtId="0" fontId="16" fillId="2" borderId="17" xfId="0" applyFont="1" applyFill="1" applyBorder="1" applyAlignment="1">
      <alignment horizontal="center" vertical="center" wrapText="1"/>
    </xf>
    <xf numFmtId="0" fontId="25" fillId="0" borderId="35" xfId="0" applyFont="1" applyBorder="1"/>
    <xf numFmtId="0" fontId="25" fillId="0" borderId="34" xfId="0" applyFont="1" applyBorder="1"/>
    <xf numFmtId="0" fontId="16" fillId="0" borderId="17" xfId="0" applyFont="1" applyFill="1" applyBorder="1" applyAlignment="1">
      <alignment horizontal="center" vertical="center" wrapText="1"/>
    </xf>
    <xf numFmtId="0" fontId="25" fillId="0" borderId="35" xfId="0" applyFont="1" applyFill="1" applyBorder="1"/>
    <xf numFmtId="0" fontId="25" fillId="0" borderId="34" xfId="0" applyFont="1" applyFill="1" applyBorder="1"/>
    <xf numFmtId="0" fontId="16" fillId="2" borderId="3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9" fillId="0" borderId="0" xfId="0" applyFont="1" applyFill="1" applyBorder="1" applyAlignment="1" applyProtection="1">
      <alignment horizontal="left"/>
    </xf>
    <xf numFmtId="0" fontId="19" fillId="0" borderId="0" xfId="0" quotePrefix="1" applyFont="1" applyBorder="1" applyAlignment="1" applyProtection="1">
      <alignment horizontal="left" wrapText="1"/>
    </xf>
    <xf numFmtId="0" fontId="19" fillId="0" borderId="0" xfId="0" applyFont="1" applyBorder="1" applyAlignment="1" applyProtection="1">
      <alignment horizontal="left" wrapText="1"/>
    </xf>
    <xf numFmtId="0" fontId="16" fillId="0" borderId="40"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6" fillId="0" borderId="4" xfId="0" applyFont="1" applyFill="1" applyBorder="1" applyAlignment="1" applyProtection="1">
      <alignment horizontal="center" vertical="center"/>
    </xf>
    <xf numFmtId="0" fontId="16" fillId="0" borderId="43" xfId="0" applyFont="1" applyFill="1" applyBorder="1" applyAlignment="1" applyProtection="1">
      <alignment horizontal="center" vertical="center"/>
    </xf>
    <xf numFmtId="0" fontId="16" fillId="0" borderId="36" xfId="0" applyFont="1" applyFill="1" applyBorder="1" applyAlignment="1" applyProtection="1">
      <alignment horizontal="center" vertical="center"/>
    </xf>
    <xf numFmtId="0" fontId="16" fillId="0" borderId="1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pplyProtection="1">
      <alignment horizontal="center" vertical="top" wrapText="1"/>
    </xf>
    <xf numFmtId="0" fontId="16" fillId="0" borderId="36" xfId="0" applyFont="1" applyFill="1" applyBorder="1" applyAlignment="1" applyProtection="1">
      <alignment horizontal="center" vertical="top" wrapText="1"/>
    </xf>
    <xf numFmtId="0" fontId="16" fillId="0" borderId="11" xfId="0" applyFont="1" applyFill="1" applyBorder="1" applyAlignment="1">
      <alignment horizontal="center" vertical="top" wrapText="1"/>
    </xf>
    <xf numFmtId="0" fontId="16" fillId="0" borderId="5" xfId="0" applyFont="1" applyFill="1" applyBorder="1" applyAlignment="1">
      <alignment horizontal="center" vertical="top" wrapText="1"/>
    </xf>
    <xf numFmtId="0" fontId="16" fillId="0" borderId="36" xfId="0" applyFont="1" applyFill="1" applyBorder="1" applyAlignment="1">
      <alignment horizontal="center" vertical="center"/>
    </xf>
    <xf numFmtId="0" fontId="16" fillId="0" borderId="75" xfId="0" applyFont="1" applyFill="1" applyBorder="1" applyAlignment="1">
      <alignment horizontal="center" vertical="center" wrapText="1"/>
    </xf>
    <xf numFmtId="0" fontId="16" fillId="0" borderId="77"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9" fillId="0" borderId="0" xfId="0" applyFont="1" applyFill="1" applyBorder="1" applyAlignment="1">
      <alignment horizontal="left" vertical="top" wrapText="1"/>
    </xf>
    <xf numFmtId="178" fontId="11" fillId="0" borderId="2" xfId="0" applyNumberFormat="1" applyFont="1" applyFill="1" applyBorder="1" applyAlignment="1" applyProtection="1">
      <alignment horizontal="center" vertical="center"/>
      <protection locked="0"/>
    </xf>
    <xf numFmtId="0" fontId="16" fillId="0" borderId="39" xfId="0" applyFont="1" applyFill="1" applyBorder="1" applyAlignment="1">
      <alignment horizontal="center" vertical="top" wrapText="1"/>
    </xf>
    <xf numFmtId="0" fontId="16" fillId="0" borderId="40" xfId="0" applyFont="1" applyFill="1" applyBorder="1" applyAlignment="1">
      <alignment horizontal="center" vertical="top" wrapText="1"/>
    </xf>
    <xf numFmtId="0" fontId="16" fillId="0" borderId="1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11" xfId="0" applyFont="1" applyFill="1" applyBorder="1" applyAlignment="1">
      <alignment horizontal="center" wrapText="1"/>
    </xf>
    <xf numFmtId="0" fontId="14" fillId="0" borderId="5" xfId="0" applyFont="1" applyFill="1" applyBorder="1" applyAlignment="1">
      <alignment horizontal="center" wrapText="1"/>
    </xf>
    <xf numFmtId="0" fontId="16" fillId="0" borderId="6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6" fillId="0" borderId="43"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6" fillId="0" borderId="45"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43" xfId="0" applyFont="1" applyFill="1" applyBorder="1" applyAlignment="1">
      <alignment horizontal="center" vertical="top" wrapText="1"/>
    </xf>
    <xf numFmtId="0" fontId="16" fillId="0" borderId="36" xfId="0" applyFont="1" applyFill="1" applyBorder="1" applyAlignment="1">
      <alignment horizontal="center" vertical="top" wrapText="1"/>
    </xf>
    <xf numFmtId="0" fontId="16" fillId="0" borderId="119" xfId="0" applyFont="1" applyFill="1" applyBorder="1" applyAlignment="1">
      <alignment horizontal="center" vertical="center" wrapText="1"/>
    </xf>
    <xf numFmtId="0" fontId="25" fillId="0" borderId="39" xfId="0" applyFont="1" applyFill="1" applyBorder="1" applyAlignment="1">
      <alignment horizontal="center" vertical="center" wrapText="1"/>
    </xf>
    <xf numFmtId="0" fontId="25" fillId="0" borderId="40" xfId="0" applyFont="1" applyFill="1" applyBorder="1" applyAlignment="1">
      <alignment horizontal="center" vertical="center" wrapText="1"/>
    </xf>
    <xf numFmtId="0" fontId="16" fillId="0" borderId="11" xfId="0" applyFont="1" applyFill="1" applyBorder="1" applyAlignment="1">
      <alignment horizontal="center" vertical="center"/>
    </xf>
    <xf numFmtId="0" fontId="16" fillId="0" borderId="1" xfId="0" applyFont="1" applyFill="1" applyBorder="1" applyAlignment="1">
      <alignment horizontal="center" vertical="center"/>
    </xf>
    <xf numFmtId="0" fontId="19" fillId="0" borderId="0" xfId="0" applyNumberFormat="1" applyFont="1" applyBorder="1" applyAlignment="1" applyProtection="1">
      <alignment wrapText="1"/>
    </xf>
    <xf numFmtId="0" fontId="25" fillId="0" borderId="0" xfId="0" applyFont="1" applyAlignment="1" applyProtection="1">
      <alignment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64" xfId="0" applyFont="1" applyFill="1" applyBorder="1" applyAlignment="1">
      <alignment horizontal="center" vertical="center" wrapText="1"/>
    </xf>
    <xf numFmtId="49" fontId="16" fillId="0" borderId="12" xfId="0" applyNumberFormat="1"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03" xfId="0" applyFont="1" applyFill="1" applyBorder="1" applyAlignment="1">
      <alignment horizontal="center" vertical="center" wrapText="1"/>
    </xf>
    <xf numFmtId="0" fontId="16" fillId="0" borderId="99" xfId="0" applyFont="1" applyFill="1" applyBorder="1" applyAlignment="1">
      <alignment horizontal="center" vertical="center" wrapText="1"/>
    </xf>
    <xf numFmtId="0" fontId="16" fillId="0" borderId="93"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6" fillId="0" borderId="76" xfId="0" applyFont="1" applyFill="1" applyBorder="1" applyAlignment="1">
      <alignment horizontal="center" vertical="center" wrapText="1"/>
    </xf>
    <xf numFmtId="0" fontId="7" fillId="2" borderId="17" xfId="0" applyFont="1" applyFill="1" applyBorder="1" applyAlignment="1">
      <alignment horizontal="center"/>
    </xf>
    <xf numFmtId="0" fontId="7" fillId="2" borderId="35" xfId="0" applyFont="1" applyFill="1" applyBorder="1" applyAlignment="1">
      <alignment horizontal="center"/>
    </xf>
    <xf numFmtId="0" fontId="7" fillId="2" borderId="34" xfId="0" applyFont="1" applyFill="1" applyBorder="1" applyAlignment="1">
      <alignment horizontal="center"/>
    </xf>
    <xf numFmtId="0" fontId="7" fillId="2" borderId="1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35" xfId="0" applyFont="1" applyFill="1" applyBorder="1" applyAlignment="1">
      <alignment horizontal="center" vertical="center"/>
    </xf>
    <xf numFmtId="0" fontId="7" fillId="2" borderId="127" xfId="0" applyFont="1" applyFill="1" applyBorder="1" applyAlignment="1">
      <alignment horizontal="center" vertical="center" wrapText="1"/>
    </xf>
    <xf numFmtId="0" fontId="7" fillId="2" borderId="128" xfId="0" applyFont="1" applyFill="1" applyBorder="1" applyAlignment="1">
      <alignment horizontal="center" vertical="center" wrapText="1"/>
    </xf>
    <xf numFmtId="0" fontId="7" fillId="2" borderId="129" xfId="0" applyFont="1" applyFill="1" applyBorder="1" applyAlignment="1">
      <alignment horizontal="center" vertical="center" wrapText="1"/>
    </xf>
    <xf numFmtId="0" fontId="7" fillId="5" borderId="17" xfId="0" applyFont="1" applyFill="1" applyBorder="1" applyAlignment="1">
      <alignment horizontal="center" vertical="top" wrapText="1"/>
    </xf>
    <xf numFmtId="0" fontId="7" fillId="5" borderId="34" xfId="0" applyFont="1" applyFill="1" applyBorder="1" applyAlignment="1">
      <alignment horizontal="center" vertical="top" wrapText="1"/>
    </xf>
    <xf numFmtId="0" fontId="7" fillId="12" borderId="17" xfId="0" applyFont="1" applyFill="1" applyBorder="1" applyAlignment="1">
      <alignment horizontal="center"/>
    </xf>
    <xf numFmtId="0" fontId="7" fillId="12" borderId="35" xfId="0" applyFont="1" applyFill="1" applyBorder="1" applyAlignment="1">
      <alignment horizontal="center"/>
    </xf>
    <xf numFmtId="0" fontId="7" fillId="12" borderId="34" xfId="0" applyFont="1" applyFill="1" applyBorder="1" applyAlignment="1">
      <alignment horizontal="center"/>
    </xf>
    <xf numFmtId="0" fontId="7" fillId="5" borderId="17" xfId="0" applyFont="1" applyFill="1" applyBorder="1" applyAlignment="1">
      <alignment horizontal="center"/>
    </xf>
    <xf numFmtId="0" fontId="7" fillId="5" borderId="35" xfId="0" applyFont="1" applyFill="1" applyBorder="1" applyAlignment="1">
      <alignment horizontal="center"/>
    </xf>
    <xf numFmtId="0" fontId="7" fillId="5" borderId="34" xfId="0" applyFont="1" applyFill="1" applyBorder="1" applyAlignment="1">
      <alignment horizontal="center"/>
    </xf>
  </cellXfs>
  <cellStyles count="118">
    <cellStyle name="Calc Currency (0)" xfId="10"/>
    <cellStyle name="Calc Currency (2)" xfId="11"/>
    <cellStyle name="Calc Percent (0)" xfId="12"/>
    <cellStyle name="Calc Percent (1)" xfId="13"/>
    <cellStyle name="Calc Percent (2)" xfId="14"/>
    <cellStyle name="Calc Units (0)" xfId="15"/>
    <cellStyle name="Calc Units (1)" xfId="16"/>
    <cellStyle name="Calc Units (2)" xfId="17"/>
    <cellStyle name="Comma" xfId="1" builtinId="3"/>
    <cellStyle name="Comma [0] 2" xfId="18"/>
    <cellStyle name="Comma [00]" xfId="19"/>
    <cellStyle name="Comma 10" xfId="20"/>
    <cellStyle name="Comma 2" xfId="9"/>
    <cellStyle name="Comma 2 2" xfId="21"/>
    <cellStyle name="Comma 2 2 2" xfId="22"/>
    <cellStyle name="Comma 2 3" xfId="23"/>
    <cellStyle name="Comma 2 4" xfId="24"/>
    <cellStyle name="Comma 2 5" xfId="25"/>
    <cellStyle name="Comma 2 6" xfId="26"/>
    <cellStyle name="Comma 2 7" xfId="27"/>
    <cellStyle name="Comma 2 7 2" xfId="28"/>
    <cellStyle name="Comma 2 8" xfId="101"/>
    <cellStyle name="Comma 3" xfId="29"/>
    <cellStyle name="Comma 3 2" xfId="30"/>
    <cellStyle name="Comma_B Schedule Municipal Adjustments Budget - 23 March 2009 cb" xfId="116"/>
    <cellStyle name="Comma0" xfId="31"/>
    <cellStyle name="Currency [00]" xfId="32"/>
    <cellStyle name="Currency 2" xfId="33"/>
    <cellStyle name="Currency 2 2" xfId="34"/>
    <cellStyle name="Currency0" xfId="35"/>
    <cellStyle name="Currency0 2" xfId="36"/>
    <cellStyle name="Date" xfId="37"/>
    <cellStyle name="Date 2" xfId="38"/>
    <cellStyle name="Date Short" xfId="39"/>
    <cellStyle name="Enter Currency (0)" xfId="40"/>
    <cellStyle name="Enter Currency (2)" xfId="41"/>
    <cellStyle name="Enter Units (0)" xfId="42"/>
    <cellStyle name="Enter Units (1)" xfId="43"/>
    <cellStyle name="Enter Units (2)" xfId="44"/>
    <cellStyle name="Euro" xfId="45"/>
    <cellStyle name="Fixed" xfId="46"/>
    <cellStyle name="Grey" xfId="47"/>
    <cellStyle name="Header1" xfId="48"/>
    <cellStyle name="Header2" xfId="49"/>
    <cellStyle name="Heading 1 2" xfId="50"/>
    <cellStyle name="Heading 2 2" xfId="51"/>
    <cellStyle name="Hyperlink" xfId="2" builtinId="8"/>
    <cellStyle name="Hyperlink_AppA_Muncde_2010" xfId="3"/>
    <cellStyle name="Hyperlink_Bills" xfId="4"/>
    <cellStyle name="Input [yellow]" xfId="52"/>
    <cellStyle name="Link Currency (0)" xfId="53"/>
    <cellStyle name="Link Currency (2)" xfId="54"/>
    <cellStyle name="Link Units (0)" xfId="55"/>
    <cellStyle name="Link Units (1)" xfId="56"/>
    <cellStyle name="Link Units (2)" xfId="57"/>
    <cellStyle name="Normal" xfId="0" builtinId="0"/>
    <cellStyle name="Normal - Style1" xfId="58"/>
    <cellStyle name="Normal 10" xfId="59"/>
    <cellStyle name="Normal 11" xfId="60"/>
    <cellStyle name="Normal 15 2" xfId="117"/>
    <cellStyle name="Normal 2" xfId="8"/>
    <cellStyle name="Normal 2 10" xfId="104"/>
    <cellStyle name="Normal 2 11" xfId="105"/>
    <cellStyle name="Normal 2 2" xfId="61"/>
    <cellStyle name="Normal 2 3" xfId="62"/>
    <cellStyle name="Normal 2 4" xfId="63"/>
    <cellStyle name="Normal 2 5" xfId="64"/>
    <cellStyle name="Normal 2 6" xfId="65"/>
    <cellStyle name="Normal 2 7" xfId="66"/>
    <cellStyle name="Normal 2 8" xfId="67"/>
    <cellStyle name="Normal 2 8 2" xfId="68"/>
    <cellStyle name="Normal 2 9" xfId="106"/>
    <cellStyle name="Normal 3" xfId="69"/>
    <cellStyle name="Normal 3 2" xfId="70"/>
    <cellStyle name="Normal 3 3" xfId="71"/>
    <cellStyle name="Normal 3 3 2" xfId="103"/>
    <cellStyle name="Normal 3 4" xfId="100"/>
    <cellStyle name="Normal 4" xfId="72"/>
    <cellStyle name="Normal 4 2" xfId="73"/>
    <cellStyle name="Normal 4 3" xfId="74"/>
    <cellStyle name="Normal 4 4" xfId="75"/>
    <cellStyle name="Normal 4 5" xfId="76"/>
    <cellStyle name="Normal 5" xfId="77"/>
    <cellStyle name="Normal 6" xfId="78"/>
    <cellStyle name="Normal 7" xfId="79"/>
    <cellStyle name="Normal 7 2" xfId="80"/>
    <cellStyle name="Normal 8" xfId="102"/>
    <cellStyle name="Normal_Final cover - LG Reporting" xfId="5"/>
    <cellStyle name="Percent" xfId="6" builtinId="5"/>
    <cellStyle name="Percent [0]" xfId="81"/>
    <cellStyle name="Percent [00]" xfId="82"/>
    <cellStyle name="Percent [2]" xfId="83"/>
    <cellStyle name="Percent 10 2" xfId="7"/>
    <cellStyle name="Percent 10 2 10" xfId="107"/>
    <cellStyle name="Percent 10 2 2" xfId="108"/>
    <cellStyle name="Percent 10 2 3" xfId="109"/>
    <cellStyle name="Percent 10 2 4" xfId="110"/>
    <cellStyle name="Percent 10 2 5" xfId="111"/>
    <cellStyle name="Percent 10 2 6" xfId="112"/>
    <cellStyle name="Percent 10 2 7" xfId="113"/>
    <cellStyle name="Percent 10 2 8" xfId="114"/>
    <cellStyle name="Percent 10 2 9" xfId="115"/>
    <cellStyle name="Percent 2" xfId="84"/>
    <cellStyle name="Percent 2 2" xfId="85"/>
    <cellStyle name="Percent 2 3" xfId="86"/>
    <cellStyle name="Percent 2 3 2" xfId="87"/>
    <cellStyle name="Percent 3" xfId="88"/>
    <cellStyle name="Percent 3 2" xfId="89"/>
    <cellStyle name="PrePop Currency (0)" xfId="90"/>
    <cellStyle name="PrePop Currency (2)" xfId="91"/>
    <cellStyle name="PrePop Units (0)" xfId="92"/>
    <cellStyle name="PrePop Units (1)" xfId="93"/>
    <cellStyle name="PrePop Units (2)" xfId="94"/>
    <cellStyle name="rs5" xfId="95"/>
    <cellStyle name="Text Indent A" xfId="96"/>
    <cellStyle name="Text Indent B" xfId="97"/>
    <cellStyle name="Text Indent C" xfId="98"/>
    <cellStyle name="Total 2" xfId="99"/>
  </cellStyles>
  <dxfs count="0"/>
  <tableStyles count="0" defaultTableStyle="TableStyleMedium9" defaultPivotStyle="PivotStyleLight16"/>
  <colors>
    <mruColors>
      <color rgb="FFFFFF99"/>
      <color rgb="FFFFFFCC"/>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externalLink" Target="externalLinks/externalLink5.xml"/><Relationship Id="rId76" Type="http://schemas.openxmlformats.org/officeDocument/2006/relationships/customXml" Target="../customXml/item2.xml"/><Relationship Id="rId7" Type="http://schemas.openxmlformats.org/officeDocument/2006/relationships/worksheet" Target="worksheets/sheet7.xml"/><Relationship Id="rId71"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3.xml"/><Relationship Id="rId7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externalLink" Target="externalLinks/externalLink2.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externalLink" Target="externalLinks/externalLink1.xml"/><Relationship Id="rId69" Type="http://schemas.openxmlformats.org/officeDocument/2006/relationships/externalLink" Target="externalLinks/externalLink6.xml"/><Relationship Id="rId77"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externalLink" Target="externalLinks/externalLink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7.xml"/><Relationship Id="rId75"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60-EC42-11CE-9E0D-00AA006002F3}" ax:persistence="persistStreamInit" r:id="rId1"/>
</file>

<file path=xl/activeX/activeX6.xml><?xml version="1.0" encoding="utf-8"?>
<ax:ocx xmlns:ax="http://schemas.microsoft.com/office/2006/activeX" xmlns:r="http://schemas.openxmlformats.org/officeDocument/2006/relationships" ax:classid="{8BD21D60-EC42-11CE-9E0D-00AA006002F3}" ax:persistence="persistStreamInit" r:id="rId1"/>
</file>

<file path=xl/activeX/activeX7.xml><?xml version="1.0" encoding="utf-8"?>
<ax:ocx xmlns:ax="http://schemas.microsoft.com/office/2006/activeX" xmlns:r="http://schemas.openxmlformats.org/officeDocument/2006/relationships" ax:classid="{8BD21D60-EC42-11CE-9E0D-00AA006002F3}" ax:persistence="persistStreamInit" r:id="rId1"/>
</file>

<file path=xl/ctrlProps/ctrlProp1.xml><?xml version="1.0" encoding="utf-8"?>
<formControlPr xmlns="http://schemas.microsoft.com/office/spreadsheetml/2009/9/main" objectType="Drop" dropLines="2" dropStyle="combo" dx="16" fmlaLink="MuniEntities" fmlaRange="$X$4:$X$5" noThreeD="1" sel="0" val="0"/>
</file>

<file path=xl/ctrlProps/ctrlProp2.xml><?xml version="1.0" encoding="utf-8"?>
<formControlPr xmlns="http://schemas.microsoft.com/office/spreadsheetml/2009/9/main" objectType="Drop" dropLines="2" dropStyle="combo" dx="16" fmlaLink="MuniType" fmlaRange="$X$7:$X$15" noThreeD="1" sel="0" val="0"/>
</file>

<file path=xl/ctrlProps/ctrlProp3.xml><?xml version="1.0" encoding="utf-8"?>
<formControlPr xmlns="http://schemas.microsoft.com/office/spreadsheetml/2009/9/main" objectType="Drop" dropLines="6" dropStyle="combo" dx="16" fmlaLink="$X$33" fmlaRange="$X$17:$X$31" noThreeD="1" sel="5" val="4"/>
</file>

<file path=xl/ctrlProps/ctrlProp4.xml><?xml version="1.0" encoding="utf-8"?>
<formControlPr xmlns="http://schemas.microsoft.com/office/spreadsheetml/2009/9/main" objectType="Drop" dropLines="10" dropStyle="combo" dx="16" fmlaLink="'Lookup and lists'!$B$27" fmlaRange="'Lookup and lists'!$B$29:$C$307" noThreeD="1" sel="215" val="205"/>
</file>

<file path=xl/ctrlProps/ctrlProp5.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hyperlink" Target="http://mfma.treasury.gov.za/Circulars/Pages/default.aspx" TargetMode="External"/><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RegulationsandGazettes/Municipal%20Budget%20and%20Reporting%20Regulations/regulation2012-2013/Documents/Budget%20Format%20Guidelines_%202012_13.pdf" TargetMode="External"/><Relationship Id="rId5" Type="http://schemas.openxmlformats.org/officeDocument/2006/relationships/hyperlink" Target="http://mfma.treasury.gov.za/Guidelines/Pages/DummyBudgetGuide.aspx" TargetMode="External"/><Relationship Id="rId4" Type="http://schemas.openxmlformats.org/officeDocument/2006/relationships/hyperlink" Target="http://mfma.treasury.gov.za/Return_Forms/Pages/default.aspx" TargetMode="Externa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77280" name="Group 316"/>
        <xdr:cNvGrpSpPr>
          <a:grpSpLocks/>
        </xdr:cNvGrpSpPr>
      </xdr:nvGrpSpPr>
      <xdr:grpSpPr bwMode="auto">
        <a:xfrm>
          <a:off x="0" y="0"/>
          <a:ext cx="7534275" cy="6400800"/>
          <a:chOff x="0" y="0"/>
          <a:chExt cx="791" cy="672"/>
        </a:xfrm>
      </xdr:grpSpPr>
      <xdr:grpSp>
        <xdr:nvGrpSpPr>
          <xdr:cNvPr id="177282" name="Group 11"/>
          <xdr:cNvGrpSpPr>
            <a:grpSpLocks/>
          </xdr:cNvGrpSpPr>
        </xdr:nvGrpSpPr>
        <xdr:grpSpPr bwMode="auto">
          <a:xfrm>
            <a:off x="0" y="0"/>
            <a:ext cx="791" cy="672"/>
            <a:chOff x="0" y="0"/>
            <a:chExt cx="791" cy="672"/>
          </a:xfrm>
        </xdr:grpSpPr>
        <xdr:grpSp>
          <xdr:nvGrpSpPr>
            <xdr:cNvPr id="177284" name="Group 12"/>
            <xdr:cNvGrpSpPr>
              <a:grpSpLocks/>
            </xdr:cNvGrpSpPr>
          </xdr:nvGrpSpPr>
          <xdr:grpSpPr bwMode="auto">
            <a:xfrm>
              <a:off x="0" y="0"/>
              <a:ext cx="791" cy="672"/>
              <a:chOff x="12" y="17"/>
              <a:chExt cx="791" cy="672"/>
            </a:xfrm>
          </xdr:grpSpPr>
          <xdr:pic>
            <xdr:nvPicPr>
              <xdr:cNvPr id="177286" name="Picture 1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12" y="17"/>
                <a:ext cx="791" cy="672"/>
              </a:xfrm>
              <a:prstGeom prst="rect">
                <a:avLst/>
              </a:prstGeom>
              <a:noFill/>
              <a:ln w="9525">
                <a:noFill/>
                <a:miter lim="800000"/>
                <a:headEnd/>
                <a:tailEnd/>
              </a:ln>
            </xdr:spPr>
          </xdr:pic>
          <xdr:pic>
            <xdr:nvPicPr>
              <xdr:cNvPr id="177287" name="Picture 1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23" y="249"/>
                <a:ext cx="770" cy="431"/>
              </a:xfrm>
              <a:prstGeom prst="rect">
                <a:avLst/>
              </a:prstGeom>
              <a:noFill/>
              <a:ln w="9525">
                <a:noFill/>
                <a:miter lim="800000"/>
                <a:headEnd/>
                <a:tailEnd/>
              </a:ln>
            </xdr:spPr>
          </xdr:pic>
          <xdr:grpSp>
            <xdr:nvGrpSpPr>
              <xdr:cNvPr id="177288" name="Group 15"/>
              <xdr:cNvGrpSpPr>
                <a:grpSpLocks/>
              </xdr:cNvGrpSpPr>
            </xdr:nvGrpSpPr>
            <xdr:grpSpPr bwMode="auto">
              <a:xfrm>
                <a:off x="416" y="255"/>
                <a:ext cx="367" cy="413"/>
                <a:chOff x="416" y="255"/>
                <a:chExt cx="367" cy="413"/>
              </a:xfrm>
            </xdr:grpSpPr>
            <xdr:pic>
              <xdr:nvPicPr>
                <xdr:cNvPr id="177293" name="Picture 48" descr="Untitled-4-2"/>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lum bright="54000" contrast="-18000"/>
                </a:blip>
                <a:srcRect l="3902" t="4648" r="53714" b="11395"/>
                <a:stretch>
                  <a:fillRect/>
                </a:stretch>
              </xdr:blipFill>
              <xdr:spPr bwMode="auto">
                <a:xfrm>
                  <a:off x="416" y="255"/>
                  <a:ext cx="367" cy="413"/>
                </a:xfrm>
                <a:prstGeom prst="rect">
                  <a:avLst/>
                </a:prstGeom>
                <a:noFill/>
                <a:ln w="9525">
                  <a:noFill/>
                  <a:miter lim="800000"/>
                  <a:headEnd/>
                  <a:tailEnd/>
                </a:ln>
              </xdr:spPr>
            </xdr:pic>
            <xdr:grpSp>
              <xdr:nvGrpSpPr>
                <xdr:cNvPr id="177294" name="Group 17"/>
                <xdr:cNvGrpSpPr>
                  <a:grpSpLocks/>
                </xdr:cNvGrpSpPr>
              </xdr:nvGrpSpPr>
              <xdr:grpSpPr bwMode="auto">
                <a:xfrm>
                  <a:off x="432" y="264"/>
                  <a:ext cx="286" cy="128"/>
                  <a:chOff x="426" y="263"/>
                  <a:chExt cx="290" cy="130"/>
                </a:xfrm>
              </xdr:grpSpPr>
              <xdr:pic>
                <xdr:nvPicPr>
                  <xdr:cNvPr id="177296"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blip>
                  <a:srcRect l="7806" t="23810" r="4646" b="24339"/>
                  <a:stretch>
                    <a:fillRect/>
                  </a:stretch>
                </xdr:blipFill>
                <xdr:spPr bwMode="auto">
                  <a:xfrm>
                    <a:off x="426" y="263"/>
                    <a:ext cx="290" cy="130"/>
                  </a:xfrm>
                  <a:prstGeom prst="rect">
                    <a:avLst/>
                  </a:prstGeom>
                  <a:noFill/>
                  <a:ln w="9525">
                    <a:noFill/>
                    <a:miter lim="800000"/>
                    <a:headEnd/>
                    <a:tailEnd/>
                  </a:ln>
                </xdr:spPr>
              </xdr:pic>
              <xdr:sp macro="" textlink="">
                <xdr:nvSpPr>
                  <xdr:cNvPr id="177297" name="Line 53"/>
                  <xdr:cNvSpPr>
                    <a:spLocks noChangeShapeType="1"/>
                  </xdr:cNvSpPr>
                </xdr:nvSpPr>
                <xdr:spPr bwMode="auto">
                  <a:xfrm>
                    <a:off x="515" y="325"/>
                    <a:ext cx="187" cy="0"/>
                  </a:xfrm>
                  <a:prstGeom prst="line">
                    <a:avLst/>
                  </a:prstGeom>
                  <a:noFill/>
                  <a:ln w="12700">
                    <a:solidFill>
                      <a:srgbClr val="000000"/>
                    </a:solidFill>
                    <a:round/>
                    <a:headEnd/>
                    <a:tailEnd/>
                  </a:ln>
                </xdr:spPr>
              </xdr:sp>
            </xdr:grpSp>
            <xdr:sp macro="" textlink="">
              <xdr:nvSpPr>
                <xdr:cNvPr id="122900" name="Text Box 20"/>
                <xdr:cNvSpPr txBox="1">
                  <a:spLocks noChangeArrowheads="1"/>
                </xdr:cNvSpPr>
              </xdr:nvSpPr>
              <xdr:spPr bwMode="auto">
                <a:xfrm>
                  <a:off x="435" y="393"/>
                  <a:ext cx="333" cy="254"/>
                </a:xfrm>
                <a:prstGeom prst="rect">
                  <a:avLst/>
                </a:prstGeom>
                <a:noFill/>
                <a:ln w="9525">
                  <a:noFill/>
                  <a:miter lim="800000"/>
                  <a:headEnd/>
                  <a:tailEnd/>
                </a:ln>
              </xdr:spPr>
              <xdr:txBody>
                <a:bodyPr vertOverflow="clip" wrap="square" lIns="27432" tIns="27432" rIns="0" bIns="0" anchor="t" upright="1"/>
                <a:lstStyle/>
                <a:p>
                  <a:pPr algn="l" rtl="1">
                    <a:defRPr sz="1000"/>
                  </a:pPr>
                  <a:endParaRPr lang="en-US" sz="1200" b="1" i="0" u="sng" strike="noStrike">
                    <a:solidFill>
                      <a:srgbClr val="000000"/>
                    </a:solidFill>
                    <a:latin typeface="Calibri"/>
                  </a:endParaRPr>
                </a:p>
                <a:p>
                  <a:pPr algn="l" rtl="1">
                    <a:defRPr sz="1000"/>
                  </a:pPr>
                  <a:r>
                    <a:rPr lang="en-US" sz="1200" b="1" i="0" u="sng" strike="noStrike">
                      <a:solidFill>
                        <a:srgbClr val="000000"/>
                      </a:solidFill>
                      <a:latin typeface="Calibri"/>
                    </a:rPr>
                    <a:t>Contact details:</a:t>
                  </a:r>
                  <a:endParaRPr lang="en-US" sz="1200" b="0" i="0" strike="noStrike">
                    <a:solidFill>
                      <a:srgbClr val="000000"/>
                    </a:solidFill>
                    <a:latin typeface="Calibri"/>
                  </a:endParaRPr>
                </a:p>
                <a:p>
                  <a:pPr algn="l" rtl="1">
                    <a:defRPr sz="1000"/>
                  </a:pPr>
                  <a:endParaRPr lang="en-US" sz="1200" b="0" i="0" strike="noStrike">
                    <a:solidFill>
                      <a:srgbClr val="000000"/>
                    </a:solidFill>
                    <a:latin typeface="Calibri"/>
                  </a:endParaRPr>
                </a:p>
                <a:p>
                  <a:pPr algn="l" rtl="1">
                    <a:defRPr sz="1000"/>
                  </a:pPr>
                  <a:r>
                    <a:rPr lang="en-US" sz="1000" b="0" i="0" strike="noStrike">
                      <a:solidFill>
                        <a:srgbClr val="000000"/>
                      </a:solidFill>
                      <a:latin typeface="Calibri"/>
                    </a:rPr>
                    <a:t>Data submission enquiries:</a:t>
                  </a:r>
                </a:p>
                <a:p>
                  <a:pPr algn="l" rtl="1">
                    <a:defRPr sz="1000"/>
                  </a:pPr>
                  <a:r>
                    <a:rPr lang="en-US" sz="1000" b="0" i="0" strike="noStrike">
                      <a:solidFill>
                        <a:srgbClr val="000000"/>
                      </a:solidFill>
                      <a:latin typeface="Calibri"/>
                    </a:rPr>
                    <a:t>Elsabé Rossouw </a:t>
                  </a:r>
                </a:p>
                <a:p>
                  <a:pPr algn="l" rtl="1">
                    <a:defRPr sz="1000"/>
                  </a:pPr>
                  <a:r>
                    <a:rPr lang="en-US" sz="1000" b="0" i="0" strike="noStrike">
                      <a:solidFill>
                        <a:srgbClr val="000000"/>
                      </a:solidFill>
                      <a:latin typeface="Calibri"/>
                    </a:rPr>
                    <a:t>National Treasury </a:t>
                  </a:r>
                </a:p>
                <a:p>
                  <a:pPr algn="l" rtl="1">
                    <a:defRPr sz="1000"/>
                  </a:pPr>
                  <a:r>
                    <a:rPr lang="en-US" sz="1000" b="0" i="0" strike="noStrike">
                      <a:solidFill>
                        <a:srgbClr val="000000"/>
                      </a:solidFill>
                      <a:latin typeface="Calibri"/>
                    </a:rPr>
                    <a:t>Tel: (012) 315-5534 </a:t>
                  </a:r>
                </a:p>
                <a:p>
                  <a:pPr algn="l" rtl="1">
                    <a:defRPr sz="1000"/>
                  </a:pPr>
                  <a:r>
                    <a:rPr lang="en-US" sz="1000" b="0" i="0" strike="noStrike">
                      <a:solidFill>
                        <a:srgbClr val="000000"/>
                      </a:solidFill>
                      <a:latin typeface="Calibri"/>
                    </a:rPr>
                    <a:t>Electronic documents: lgdocuments@treasury.gov.za</a:t>
                  </a:r>
                </a:p>
                <a:p>
                  <a:pPr algn="l" rtl="1">
                    <a:defRPr sz="1000"/>
                  </a:pPr>
                  <a:endParaRPr lang="en-US" sz="1000" b="0" i="0" strike="noStrike">
                    <a:solidFill>
                      <a:srgbClr val="000000"/>
                    </a:solidFill>
                    <a:latin typeface="Calibri"/>
                  </a:endParaRPr>
                </a:p>
              </xdr:txBody>
            </xdr:sp>
          </xdr:grpSp>
          <xdr:grpSp>
            <xdr:nvGrpSpPr>
              <xdr:cNvPr id="177289" name="Group 21"/>
              <xdr:cNvGrpSpPr>
                <a:grpSpLocks/>
              </xdr:cNvGrpSpPr>
            </xdr:nvGrpSpPr>
            <xdr:grpSpPr bwMode="auto">
              <a:xfrm>
                <a:off x="76" y="364"/>
                <a:ext cx="289" cy="256"/>
                <a:chOff x="76" y="364"/>
                <a:chExt cx="289" cy="256"/>
              </a:xfrm>
            </xdr:grpSpPr>
            <xdr:pic>
              <xdr:nvPicPr>
                <xdr:cNvPr id="177290" name="Picture 22" descr="J1c"/>
                <xdr:cNvPicPr>
                  <a:picLocks noChangeAspect="1" noChangeArrowheads="1"/>
                </xdr:cNvPicPr>
              </xdr:nvPicPr>
              <xdr:blipFill>
                <a:blip xmlns:r="http://schemas.openxmlformats.org/officeDocument/2006/relationships" r:embed="rId5" cstate="print"/>
                <a:srcRect/>
                <a:stretch>
                  <a:fillRect/>
                </a:stretch>
              </xdr:blipFill>
              <xdr:spPr bwMode="auto">
                <a:xfrm>
                  <a:off x="76" y="364"/>
                  <a:ext cx="289" cy="84"/>
                </a:xfrm>
                <a:prstGeom prst="rect">
                  <a:avLst/>
                </a:prstGeom>
                <a:noFill/>
                <a:ln w="9525">
                  <a:noFill/>
                  <a:miter lim="800000"/>
                  <a:headEnd/>
                  <a:tailEnd/>
                </a:ln>
              </xdr:spPr>
            </xdr:pic>
            <xdr:pic>
              <xdr:nvPicPr>
                <xdr:cNvPr id="177291" name="Picture 23" descr="J1a"/>
                <xdr:cNvPicPr>
                  <a:picLocks noChangeAspect="1" noChangeArrowheads="1"/>
                </xdr:cNvPicPr>
              </xdr:nvPicPr>
              <xdr:blipFill>
                <a:blip xmlns:r="http://schemas.openxmlformats.org/officeDocument/2006/relationships" r:embed="rId6" cstate="print"/>
                <a:srcRect/>
                <a:stretch>
                  <a:fillRect/>
                </a:stretch>
              </xdr:blipFill>
              <xdr:spPr bwMode="auto">
                <a:xfrm>
                  <a:off x="76" y="536"/>
                  <a:ext cx="289" cy="84"/>
                </a:xfrm>
                <a:prstGeom prst="rect">
                  <a:avLst/>
                </a:prstGeom>
                <a:noFill/>
                <a:ln w="9525">
                  <a:noFill/>
                  <a:miter lim="800000"/>
                  <a:headEnd/>
                  <a:tailEnd/>
                </a:ln>
              </xdr:spPr>
            </xdr:pic>
            <xdr:pic>
              <xdr:nvPicPr>
                <xdr:cNvPr id="177292" name="Picture 24" descr="J1b"/>
                <xdr:cNvPicPr>
                  <a:picLocks noChangeAspect="1" noChangeArrowheads="1"/>
                </xdr:cNvPicPr>
              </xdr:nvPicPr>
              <xdr:blipFill>
                <a:blip xmlns:r="http://schemas.openxmlformats.org/officeDocument/2006/relationships" r:embed="rId7" cstate="print"/>
                <a:srcRect/>
                <a:stretch>
                  <a:fillRect/>
                </a:stretch>
              </xdr:blipFill>
              <xdr:spPr bwMode="auto">
                <a:xfrm>
                  <a:off x="76" y="450"/>
                  <a:ext cx="289" cy="84"/>
                </a:xfrm>
                <a:prstGeom prst="rect">
                  <a:avLst/>
                </a:prstGeom>
                <a:noFill/>
                <a:ln w="9525">
                  <a:noFill/>
                  <a:miter lim="800000"/>
                  <a:headEnd/>
                  <a:tailEnd/>
                </a:ln>
              </xdr:spPr>
            </xdr:pic>
          </xdr:grpSp>
        </xdr:grpSp>
        <xdr:pic>
          <xdr:nvPicPr>
            <xdr:cNvPr id="177285" name="Picture 25" descr="A1 light"/>
            <xdr:cNvPicPr>
              <a:picLocks noChangeAspect="1" noChangeArrowheads="1"/>
            </xdr:cNvPicPr>
          </xdr:nvPicPr>
          <xdr:blipFill>
            <a:blip xmlns:r="http://schemas.openxmlformats.org/officeDocument/2006/relationships" r:embed="rId8" cstate="print"/>
            <a:srcRect/>
            <a:stretch>
              <a:fillRect/>
            </a:stretch>
          </xdr:blipFill>
          <xdr:spPr bwMode="auto">
            <a:xfrm>
              <a:off x="11" y="11"/>
              <a:ext cx="770" cy="215"/>
            </a:xfrm>
            <a:prstGeom prst="rect">
              <a:avLst/>
            </a:prstGeom>
            <a:noFill/>
            <a:ln w="9525">
              <a:noFill/>
              <a:miter lim="800000"/>
              <a:headEnd/>
              <a:tailEnd/>
            </a:ln>
          </xdr:spPr>
        </xdr:pic>
      </xdr:grpSp>
      <xdr:sp macro="" textlink="">
        <xdr:nvSpPr>
          <xdr:cNvPr id="123193" name="Text Box 313"/>
          <xdr:cNvSpPr txBox="1">
            <a:spLocks noChangeArrowheads="1"/>
          </xdr:cNvSpPr>
        </xdr:nvSpPr>
        <xdr:spPr bwMode="auto">
          <a:xfrm>
            <a:off x="666" y="196"/>
            <a:ext cx="109" cy="18"/>
          </a:xfrm>
          <a:prstGeom prst="rect">
            <a:avLst/>
          </a:prstGeom>
          <a:noFill/>
          <a:ln>
            <a:noFill/>
          </a:ln>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2.4</a:t>
            </a:r>
          </a:p>
        </xdr:txBody>
      </xdr:sp>
    </xdr:grpSp>
    <xdr:clientData/>
  </xdr:twoCellAnchor>
  <xdr:twoCellAnchor>
    <xdr:from>
      <xdr:col>1</xdr:col>
      <xdr:colOff>85725</xdr:colOff>
      <xdr:row>15</xdr:row>
      <xdr:rowOff>152400</xdr:rowOff>
    </xdr:from>
    <xdr:to>
      <xdr:col>4</xdr:col>
      <xdr:colOff>485775</xdr:colOff>
      <xdr:row>19</xdr:row>
      <xdr:rowOff>0</xdr:rowOff>
    </xdr:to>
    <xdr:sp macro="[0]!GoToInstructions" textlink="">
      <xdr:nvSpPr>
        <xdr:cNvPr id="122906" name="Text Box 26"/>
        <xdr:cNvSpPr txBox="1">
          <a:spLocks noChangeArrowheads="1"/>
        </xdr:cNvSpPr>
      </xdr:nvSpPr>
      <xdr:spPr bwMode="auto">
        <a:xfrm>
          <a:off x="619125" y="2581275"/>
          <a:ext cx="200025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419100</xdr:colOff>
      <xdr:row>46</xdr:row>
      <xdr:rowOff>66675</xdr:rowOff>
    </xdr:to>
    <xdr:pic>
      <xdr:nvPicPr>
        <xdr:cNvPr id="176960" name="Picture 3" descr="Untitled-1 copy"/>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734300" cy="7515225"/>
        </a:xfrm>
        <a:prstGeom prst="rect">
          <a:avLst/>
        </a:prstGeom>
        <a:noFill/>
        <a:ln w="9525">
          <a:noFill/>
          <a:miter lim="800000"/>
          <a:headEnd/>
          <a:tailEnd/>
        </a:ln>
      </xdr:spPr>
    </xdr:pic>
    <xdr:clientData/>
  </xdr:twoCellAnchor>
  <xdr:twoCellAnchor>
    <xdr:from>
      <xdr:col>0</xdr:col>
      <xdr:colOff>171450</xdr:colOff>
      <xdr:row>28</xdr:row>
      <xdr:rowOff>38100</xdr:rowOff>
    </xdr:from>
    <xdr:to>
      <xdr:col>6</xdr:col>
      <xdr:colOff>381000</xdr:colOff>
      <xdr:row>45</xdr:row>
      <xdr:rowOff>66675</xdr:rowOff>
    </xdr:to>
    <xdr:pic>
      <xdr:nvPicPr>
        <xdr:cNvPr id="176961"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171450" y="4572000"/>
          <a:ext cx="3867150" cy="2781300"/>
        </a:xfrm>
        <a:prstGeom prst="rect">
          <a:avLst/>
        </a:prstGeom>
        <a:noFill/>
        <a:ln w="9525">
          <a:noFill/>
          <a:miter lim="800000"/>
          <a:headEnd/>
          <a:tailEnd/>
        </a:ln>
      </xdr:spPr>
    </xdr:pic>
    <xdr:clientData/>
  </xdr:twoCellAnchor>
  <xdr:twoCellAnchor>
    <xdr:from>
      <xdr:col>7</xdr:col>
      <xdr:colOff>66675</xdr:colOff>
      <xdr:row>24</xdr:row>
      <xdr:rowOff>104775</xdr:rowOff>
    </xdr:from>
    <xdr:to>
      <xdr:col>11</xdr:col>
      <xdr:colOff>561975</xdr:colOff>
      <xdr:row>27</xdr:row>
      <xdr:rowOff>114300</xdr:rowOff>
    </xdr:to>
    <xdr:sp macro="[0]!GoToOrgstructure" textlink="">
      <xdr:nvSpPr>
        <xdr:cNvPr id="123920" name="Text Box 16"/>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123825</xdr:rowOff>
    </xdr:from>
    <xdr:to>
      <xdr:col>12</xdr:col>
      <xdr:colOff>276225</xdr:colOff>
      <xdr:row>3</xdr:row>
      <xdr:rowOff>133350</xdr:rowOff>
    </xdr:to>
    <xdr:sp macro="" textlink="">
      <xdr:nvSpPr>
        <xdr:cNvPr id="123921" name="Text Box 17"/>
        <xdr:cNvSpPr txBox="1">
          <a:spLocks noChangeArrowheads="1"/>
        </xdr:cNvSpPr>
      </xdr:nvSpPr>
      <xdr:spPr bwMode="auto">
        <a:xfrm>
          <a:off x="161925" y="123825"/>
          <a:ext cx="74295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209550</xdr:colOff>
      <xdr:row>28</xdr:row>
      <xdr:rowOff>66675</xdr:rowOff>
    </xdr:from>
    <xdr:to>
      <xdr:col>6</xdr:col>
      <xdr:colOff>342900</xdr:colOff>
      <xdr:row>31</xdr:row>
      <xdr:rowOff>114300</xdr:rowOff>
    </xdr:to>
    <xdr:sp macro="" textlink="">
      <xdr:nvSpPr>
        <xdr:cNvPr id="124127" name="Text Box 18"/>
        <xdr:cNvSpPr txBox="1">
          <a:spLocks noChangeArrowheads="1"/>
        </xdr:cNvSpPr>
      </xdr:nvSpPr>
      <xdr:spPr bwMode="auto">
        <a:xfrm>
          <a:off x="209550" y="4600575"/>
          <a:ext cx="3790950" cy="533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xdr:from>
      <xdr:col>0</xdr:col>
      <xdr:colOff>161925</xdr:colOff>
      <xdr:row>14</xdr:row>
      <xdr:rowOff>85725</xdr:rowOff>
    </xdr:from>
    <xdr:to>
      <xdr:col>5</xdr:col>
      <xdr:colOff>47625</xdr:colOff>
      <xdr:row>17</xdr:row>
      <xdr:rowOff>95250</xdr:rowOff>
    </xdr:to>
    <xdr:sp macro="" textlink="">
      <xdr:nvSpPr>
        <xdr:cNvPr id="123926" name="Text Box 22"/>
        <xdr:cNvSpPr txBox="1">
          <a:spLocks noChangeArrowheads="1"/>
        </xdr:cNvSpPr>
      </xdr:nvSpPr>
      <xdr:spPr bwMode="auto">
        <a:xfrm>
          <a:off x="161925" y="2352675"/>
          <a:ext cx="2933700" cy="495300"/>
        </a:xfrm>
        <a:prstGeom prst="rect">
          <a:avLst/>
        </a:prstGeom>
        <a:noFill/>
        <a:ln w="9525">
          <a:noFill/>
          <a:miter lim="800000"/>
          <a:headEnd/>
          <a:tailEnd/>
        </a:ln>
      </xdr:spPr>
      <xdr:txBody>
        <a:bodyPr vertOverflow="clip" wrap="square" lIns="0" tIns="32004" rIns="36576" bIns="32004" anchor="ctr" upright="1"/>
        <a:lstStyle/>
        <a:p>
          <a:pPr algn="r" rtl="0">
            <a:defRPr sz="1000"/>
          </a:pPr>
          <a:r>
            <a:rPr lang="en-GB" sz="1400" b="1" i="0" u="none" strike="noStrike" baseline="0">
              <a:solidFill>
                <a:srgbClr val="FFFFFF"/>
              </a:solidFill>
              <a:latin typeface="Calibri"/>
              <a:cs typeface="Calibri"/>
            </a:rPr>
            <a:t>Budget for MTREF starting:</a:t>
          </a:r>
        </a:p>
      </xdr:txBody>
    </xdr:sp>
    <xdr:clientData/>
  </xdr:twoCellAnchor>
  <xdr:twoCellAnchor>
    <xdr:from>
      <xdr:col>7</xdr:col>
      <xdr:colOff>257175</xdr:colOff>
      <xdr:row>14</xdr:row>
      <xdr:rowOff>85725</xdr:rowOff>
    </xdr:from>
    <xdr:to>
      <xdr:col>9</xdr:col>
      <xdr:colOff>476250</xdr:colOff>
      <xdr:row>17</xdr:row>
      <xdr:rowOff>95250</xdr:rowOff>
    </xdr:to>
    <xdr:sp macro="" textlink="">
      <xdr:nvSpPr>
        <xdr:cNvPr id="123928" name="Text Box 24"/>
        <xdr:cNvSpPr txBox="1">
          <a:spLocks noChangeArrowheads="1"/>
        </xdr:cNvSpPr>
      </xdr:nvSpPr>
      <xdr:spPr bwMode="auto">
        <a:xfrm>
          <a:off x="4524375" y="2352675"/>
          <a:ext cx="1438275"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Budget Year:</a:t>
          </a:r>
        </a:p>
      </xdr:txBody>
    </xdr:sp>
    <xdr:clientData/>
  </xdr:twoCellAnchor>
  <xdr:twoCellAnchor>
    <xdr:from>
      <xdr:col>0</xdr:col>
      <xdr:colOff>161925</xdr:colOff>
      <xdr:row>17</xdr:row>
      <xdr:rowOff>57150</xdr:rowOff>
    </xdr:from>
    <xdr:to>
      <xdr:col>5</xdr:col>
      <xdr:colOff>47625</xdr:colOff>
      <xdr:row>20</xdr:row>
      <xdr:rowOff>66675</xdr:rowOff>
    </xdr:to>
    <xdr:sp macro="" textlink="">
      <xdr:nvSpPr>
        <xdr:cNvPr id="123929" name="Text Box 25"/>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20</xdr:row>
      <xdr:rowOff>104775</xdr:rowOff>
    </xdr:from>
    <xdr:to>
      <xdr:col>5</xdr:col>
      <xdr:colOff>47625</xdr:colOff>
      <xdr:row>22</xdr:row>
      <xdr:rowOff>152400</xdr:rowOff>
    </xdr:to>
    <xdr:sp macro="" textlink="">
      <xdr:nvSpPr>
        <xdr:cNvPr id="123930" name="Text Box 26"/>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123825</xdr:rowOff>
    </xdr:from>
    <xdr:to>
      <xdr:col>5</xdr:col>
      <xdr:colOff>95250</xdr:colOff>
      <xdr:row>13</xdr:row>
      <xdr:rowOff>114300</xdr:rowOff>
    </xdr:to>
    <xdr:sp macro="" textlink="">
      <xdr:nvSpPr>
        <xdr:cNvPr id="123945" name="Text Box 41"/>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xdr:twoCellAnchor>
    <xdr:from>
      <xdr:col>1</xdr:col>
      <xdr:colOff>142875</xdr:colOff>
      <xdr:row>33</xdr:row>
      <xdr:rowOff>0</xdr:rowOff>
    </xdr:from>
    <xdr:to>
      <xdr:col>5</xdr:col>
      <xdr:colOff>381000</xdr:colOff>
      <xdr:row>34</xdr:row>
      <xdr:rowOff>152399</xdr:rowOff>
    </xdr:to>
    <xdr:sp macro="" textlink="">
      <xdr:nvSpPr>
        <xdr:cNvPr id="124137" name="Text Box 233"/>
        <xdr:cNvSpPr txBox="1">
          <a:spLocks noChangeArrowheads="1"/>
        </xdr:cNvSpPr>
      </xdr:nvSpPr>
      <xdr:spPr bwMode="auto">
        <a:xfrm>
          <a:off x="752475" y="5343525"/>
          <a:ext cx="2676525" cy="314324"/>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590550</xdr:colOff>
      <xdr:row>39</xdr:row>
      <xdr:rowOff>95250</xdr:rowOff>
    </xdr:from>
    <xdr:to>
      <xdr:col>5</xdr:col>
      <xdr:colOff>571500</xdr:colOff>
      <xdr:row>41</xdr:row>
      <xdr:rowOff>142875</xdr:rowOff>
    </xdr:to>
    <xdr:sp macro="" textlink="">
      <xdr:nvSpPr>
        <xdr:cNvPr id="124138" name="Text Box 234"/>
        <xdr:cNvSpPr txBox="1">
          <a:spLocks noChangeArrowheads="1"/>
        </xdr:cNvSpPr>
      </xdr:nvSpPr>
      <xdr:spPr bwMode="auto">
        <a:xfrm>
          <a:off x="590550" y="6410325"/>
          <a:ext cx="3028950" cy="371475"/>
        </a:xfrm>
        <a:prstGeom prst="rect">
          <a:avLst/>
        </a:prstGeom>
        <a:noFill/>
        <a:ln>
          <a:noFill/>
        </a:ln>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xdr:twoCellAnchor>
    <xdr:from>
      <xdr:col>6</xdr:col>
      <xdr:colOff>381000</xdr:colOff>
      <xdr:row>28</xdr:row>
      <xdr:rowOff>28575</xdr:rowOff>
    </xdr:from>
    <xdr:to>
      <xdr:col>12</xdr:col>
      <xdr:colOff>257175</xdr:colOff>
      <xdr:row>45</xdr:row>
      <xdr:rowOff>85725</xdr:rowOff>
    </xdr:to>
    <xdr:pic>
      <xdr:nvPicPr>
        <xdr:cNvPr id="176977" name="Picture 4" descr="1 copy"/>
        <xdr:cNvPicPr>
          <a:picLocks noChangeAspect="1" noChangeArrowheads="1"/>
        </xdr:cNvPicPr>
      </xdr:nvPicPr>
      <xdr:blipFill>
        <a:blip xmlns:r="http://schemas.openxmlformats.org/officeDocument/2006/relationships" r:embed="rId2" cstate="print"/>
        <a:srcRect/>
        <a:stretch>
          <a:fillRect/>
        </a:stretch>
      </xdr:blipFill>
      <xdr:spPr bwMode="auto">
        <a:xfrm>
          <a:off x="4038600" y="4562475"/>
          <a:ext cx="3533775" cy="2809875"/>
        </a:xfrm>
        <a:prstGeom prst="rect">
          <a:avLst/>
        </a:prstGeom>
        <a:noFill/>
        <a:ln w="9525">
          <a:noFill/>
          <a:miter lim="800000"/>
          <a:headEnd/>
          <a:tailEnd/>
        </a:ln>
      </xdr:spPr>
    </xdr:pic>
    <xdr:clientData/>
  </xdr:twoCellAnchor>
  <xdr:twoCellAnchor>
    <xdr:from>
      <xdr:col>6</xdr:col>
      <xdr:colOff>390525</xdr:colOff>
      <xdr:row>28</xdr:row>
      <xdr:rowOff>66675</xdr:rowOff>
    </xdr:from>
    <xdr:to>
      <xdr:col>12</xdr:col>
      <xdr:colOff>209550</xdr:colOff>
      <xdr:row>32</xdr:row>
      <xdr:rowOff>28575</xdr:rowOff>
    </xdr:to>
    <xdr:sp macro="" textlink="">
      <xdr:nvSpPr>
        <xdr:cNvPr id="39" name="Text Box 18"/>
        <xdr:cNvSpPr txBox="1">
          <a:spLocks noChangeArrowheads="1"/>
        </xdr:cNvSpPr>
      </xdr:nvSpPr>
      <xdr:spPr bwMode="auto">
        <a:xfrm>
          <a:off x="4048125" y="4600575"/>
          <a:ext cx="3476625" cy="6096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 documents which </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495300</xdr:colOff>
      <xdr:row>32</xdr:row>
      <xdr:rowOff>133350</xdr:rowOff>
    </xdr:from>
    <xdr:to>
      <xdr:col>10</xdr:col>
      <xdr:colOff>390525</xdr:colOff>
      <xdr:row>35</xdr:row>
      <xdr:rowOff>19050</xdr:rowOff>
    </xdr:to>
    <xdr:sp macro="" textlink="">
      <xdr:nvSpPr>
        <xdr:cNvPr id="40" name="Text Box 233"/>
        <xdr:cNvSpPr txBox="1">
          <a:spLocks noChangeArrowheads="1"/>
        </xdr:cNvSpPr>
      </xdr:nvSpPr>
      <xdr:spPr bwMode="auto">
        <a:xfrm>
          <a:off x="4152900" y="5314950"/>
          <a:ext cx="23336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Budget Circulars </a:t>
          </a:r>
        </a:p>
      </xdr:txBody>
    </xdr:sp>
    <xdr:clientData/>
  </xdr:twoCellAnchor>
  <xdr:twoCellAnchor>
    <xdr:from>
      <xdr:col>6</xdr:col>
      <xdr:colOff>514351</xdr:colOff>
      <xdr:row>37</xdr:row>
      <xdr:rowOff>76200</xdr:rowOff>
    </xdr:from>
    <xdr:to>
      <xdr:col>9</xdr:col>
      <xdr:colOff>304801</xdr:colOff>
      <xdr:row>39</xdr:row>
      <xdr:rowOff>123825</xdr:rowOff>
    </xdr:to>
    <xdr:sp macro="" textlink="">
      <xdr:nvSpPr>
        <xdr:cNvPr id="41" name="Text Box 233"/>
        <xdr:cNvSpPr txBox="1">
          <a:spLocks noChangeArrowheads="1"/>
        </xdr:cNvSpPr>
      </xdr:nvSpPr>
      <xdr:spPr bwMode="auto">
        <a:xfrm>
          <a:off x="4171951" y="6067425"/>
          <a:ext cx="1619250"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Dummy Budget Guide</a:t>
          </a:r>
        </a:p>
        <a:p>
          <a:pPr algn="l" rtl="0">
            <a:defRPr sz="1000"/>
          </a:pPr>
          <a:r>
            <a:rPr lang="en-GB" sz="1300" b="1" i="0" u="sng" strike="noStrike" baseline="0">
              <a:solidFill>
                <a:srgbClr val="FFFFFF"/>
              </a:solidFill>
              <a:latin typeface="Calibri"/>
              <a:cs typeface="Calibri"/>
            </a:rPr>
            <a:t> </a:t>
          </a:r>
        </a:p>
      </xdr:txBody>
    </xdr:sp>
    <xdr:clientData/>
  </xdr:twoCellAnchor>
  <xdr:twoCellAnchor>
    <xdr:from>
      <xdr:col>6</xdr:col>
      <xdr:colOff>504825</xdr:colOff>
      <xdr:row>35</xdr:row>
      <xdr:rowOff>19050</xdr:rowOff>
    </xdr:from>
    <xdr:to>
      <xdr:col>10</xdr:col>
      <xdr:colOff>133350</xdr:colOff>
      <xdr:row>37</xdr:row>
      <xdr:rowOff>66675</xdr:rowOff>
    </xdr:to>
    <xdr:sp macro="" textlink="">
      <xdr:nvSpPr>
        <xdr:cNvPr id="42" name="Text Box 233"/>
        <xdr:cNvSpPr txBox="1">
          <a:spLocks noChangeArrowheads="1"/>
        </xdr:cNvSpPr>
      </xdr:nvSpPr>
      <xdr:spPr bwMode="auto">
        <a:xfrm>
          <a:off x="4162425" y="5686425"/>
          <a:ext cx="206692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MBRR Budget Formats Guide </a:t>
          </a:r>
        </a:p>
      </xdr:txBody>
    </xdr:sp>
    <xdr:clientData/>
  </xdr:twoCellAnchor>
  <xdr:twoCellAnchor>
    <xdr:from>
      <xdr:col>6</xdr:col>
      <xdr:colOff>514351</xdr:colOff>
      <xdr:row>39</xdr:row>
      <xdr:rowOff>142875</xdr:rowOff>
    </xdr:from>
    <xdr:to>
      <xdr:col>10</xdr:col>
      <xdr:colOff>95251</xdr:colOff>
      <xdr:row>41</xdr:row>
      <xdr:rowOff>142875</xdr:rowOff>
    </xdr:to>
    <xdr:sp macro="" textlink="">
      <xdr:nvSpPr>
        <xdr:cNvPr id="44" name="Text Box 233"/>
        <xdr:cNvSpPr txBox="1">
          <a:spLocks noChangeArrowheads="1"/>
        </xdr:cNvSpPr>
      </xdr:nvSpPr>
      <xdr:spPr bwMode="auto">
        <a:xfrm>
          <a:off x="4171951" y="6457950"/>
          <a:ext cx="2019300" cy="323850"/>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Funding Compliance Guide</a:t>
          </a:r>
          <a:endParaRPr lang="en-GB" sz="1400" b="1" i="0" u="sng" strike="noStrike" baseline="0">
            <a:solidFill>
              <a:srgbClr val="FFFFFF"/>
            </a:solidFill>
            <a:latin typeface="Calibri"/>
            <a:cs typeface="Calibri"/>
          </a:endParaRPr>
        </a:p>
      </xdr:txBody>
    </xdr:sp>
    <xdr:clientData/>
  </xdr:twoCellAnchor>
  <xdr:twoCellAnchor>
    <xdr:from>
      <xdr:col>6</xdr:col>
      <xdr:colOff>514350</xdr:colOff>
      <xdr:row>42</xdr:row>
      <xdr:rowOff>9525</xdr:rowOff>
    </xdr:from>
    <xdr:to>
      <xdr:col>9</xdr:col>
      <xdr:colOff>390525</xdr:colOff>
      <xdr:row>44</xdr:row>
      <xdr:rowOff>57150</xdr:rowOff>
    </xdr:to>
    <xdr:sp macro="" textlink="">
      <xdr:nvSpPr>
        <xdr:cNvPr id="37" name="Text Box 233"/>
        <xdr:cNvSpPr txBox="1">
          <a:spLocks noChangeArrowheads="1"/>
        </xdr:cNvSpPr>
      </xdr:nvSpPr>
      <xdr:spPr bwMode="auto">
        <a:xfrm>
          <a:off x="4171950" y="6810375"/>
          <a:ext cx="1704975" cy="371475"/>
        </a:xfrm>
        <a:prstGeom prst="rect">
          <a:avLst/>
        </a:prstGeom>
        <a:noFill/>
        <a:ln>
          <a:noFill/>
        </a:ln>
        <a:extLst/>
      </xdr:spPr>
      <xdr:txBody>
        <a:bodyPr vertOverflow="clip" wrap="square" lIns="0" tIns="32004" rIns="36576" bIns="32004" anchor="ctr"/>
        <a:lstStyle/>
        <a:p>
          <a:pPr algn="l" rtl="0">
            <a:defRPr sz="1000"/>
          </a:pPr>
          <a:r>
            <a:rPr lang="en-GB" sz="1300" b="1" i="0" u="sng" strike="noStrike" baseline="0">
              <a:solidFill>
                <a:srgbClr val="FFFFFF"/>
              </a:solidFill>
              <a:latin typeface="Calibri"/>
              <a:cs typeface="Calibri"/>
            </a:rPr>
            <a:t>MFMA Return Forms </a:t>
          </a:r>
        </a:p>
      </xdr:txBody>
    </xdr:sp>
    <xdr:clientData/>
  </xdr:twoCellAnchor>
  <xdr:twoCellAnchor>
    <xdr:from>
      <xdr:col>10</xdr:col>
      <xdr:colOff>552451</xdr:colOff>
      <xdr:row>32</xdr:row>
      <xdr:rowOff>142875</xdr:rowOff>
    </xdr:from>
    <xdr:to>
      <xdr:col>12</xdr:col>
      <xdr:colOff>133351</xdr:colOff>
      <xdr:row>35</xdr:row>
      <xdr:rowOff>28575</xdr:rowOff>
    </xdr:to>
    <xdr:sp macro="" textlink="">
      <xdr:nvSpPr>
        <xdr:cNvPr id="38" name="Text Box 233">
          <a:hlinkClick xmlns:r="http://schemas.openxmlformats.org/officeDocument/2006/relationships" r:id="rId3"/>
        </xdr:cNvPr>
        <xdr:cNvSpPr txBox="1">
          <a:spLocks noChangeArrowheads="1"/>
        </xdr:cNvSpPr>
      </xdr:nvSpPr>
      <xdr:spPr bwMode="auto">
        <a:xfrm>
          <a:off x="6648451" y="5324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42</xdr:row>
      <xdr:rowOff>0</xdr:rowOff>
    </xdr:from>
    <xdr:to>
      <xdr:col>12</xdr:col>
      <xdr:colOff>152400</xdr:colOff>
      <xdr:row>44</xdr:row>
      <xdr:rowOff>47625</xdr:rowOff>
    </xdr:to>
    <xdr:sp macro="" textlink="">
      <xdr:nvSpPr>
        <xdr:cNvPr id="43" name="Text Box 233">
          <a:hlinkClick xmlns:r="http://schemas.openxmlformats.org/officeDocument/2006/relationships" r:id="rId4"/>
        </xdr:cNvPr>
        <xdr:cNvSpPr txBox="1">
          <a:spLocks noChangeArrowheads="1"/>
        </xdr:cNvSpPr>
      </xdr:nvSpPr>
      <xdr:spPr bwMode="auto">
        <a:xfrm>
          <a:off x="6667500" y="68008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552450</xdr:colOff>
      <xdr:row>37</xdr:row>
      <xdr:rowOff>85725</xdr:rowOff>
    </xdr:from>
    <xdr:to>
      <xdr:col>12</xdr:col>
      <xdr:colOff>133350</xdr:colOff>
      <xdr:row>39</xdr:row>
      <xdr:rowOff>133350</xdr:rowOff>
    </xdr:to>
    <xdr:sp macro="" textlink="">
      <xdr:nvSpPr>
        <xdr:cNvPr id="46" name="Text Box 233">
          <a:hlinkClick xmlns:r="http://schemas.openxmlformats.org/officeDocument/2006/relationships" r:id="rId5"/>
        </xdr:cNvPr>
        <xdr:cNvSpPr txBox="1">
          <a:spLocks noChangeArrowheads="1"/>
        </xdr:cNvSpPr>
      </xdr:nvSpPr>
      <xdr:spPr bwMode="auto">
        <a:xfrm>
          <a:off x="6648450" y="6076950"/>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542925</xdr:colOff>
      <xdr:row>35</xdr:row>
      <xdr:rowOff>76200</xdr:rowOff>
    </xdr:from>
    <xdr:to>
      <xdr:col>12</xdr:col>
      <xdr:colOff>123825</xdr:colOff>
      <xdr:row>37</xdr:row>
      <xdr:rowOff>123825</xdr:rowOff>
    </xdr:to>
    <xdr:sp macro="" textlink="">
      <xdr:nvSpPr>
        <xdr:cNvPr id="48" name="Text Box 233">
          <a:hlinkClick xmlns:r="http://schemas.openxmlformats.org/officeDocument/2006/relationships" r:id="rId6"/>
        </xdr:cNvPr>
        <xdr:cNvSpPr txBox="1">
          <a:spLocks noChangeArrowheads="1"/>
        </xdr:cNvSpPr>
      </xdr:nvSpPr>
      <xdr:spPr bwMode="auto">
        <a:xfrm>
          <a:off x="6638925" y="57435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571500</xdr:colOff>
      <xdr:row>39</xdr:row>
      <xdr:rowOff>152400</xdr:rowOff>
    </xdr:from>
    <xdr:to>
      <xdr:col>12</xdr:col>
      <xdr:colOff>152400</xdr:colOff>
      <xdr:row>42</xdr:row>
      <xdr:rowOff>38100</xdr:rowOff>
    </xdr:to>
    <xdr:sp macro="" textlink="">
      <xdr:nvSpPr>
        <xdr:cNvPr id="49" name="Text Box 233">
          <a:hlinkClick xmlns:r="http://schemas.openxmlformats.org/officeDocument/2006/relationships" r:id="rId7"/>
        </xdr:cNvPr>
        <xdr:cNvSpPr txBox="1">
          <a:spLocks noChangeArrowheads="1"/>
        </xdr:cNvSpPr>
      </xdr:nvSpPr>
      <xdr:spPr bwMode="auto">
        <a:xfrm>
          <a:off x="6667500" y="6467475"/>
          <a:ext cx="800100" cy="371475"/>
        </a:xfrm>
        <a:prstGeom prst="rect">
          <a:avLst/>
        </a:prstGeom>
        <a:noFill/>
        <a:ln>
          <a:noFill/>
        </a:ln>
        <a:extLst/>
      </xdr:spPr>
      <xdr:txBody>
        <a:bodyPr vertOverflow="clip" wrap="square" lIns="0" tIns="32004" rIns="36576" bIns="32004" anchor="ctr"/>
        <a:lstStyle/>
        <a:p>
          <a:pPr algn="r" rtl="0">
            <a:defRPr sz="1000"/>
          </a:pPr>
          <a:r>
            <a:rPr lang="en-GB" sz="1000" b="1" i="0" u="sng" strike="noStrike" baseline="0">
              <a:solidFill>
                <a:srgbClr val="FFFFFF"/>
              </a:solidFill>
              <a:latin typeface="Calibri"/>
              <a:cs typeface="Calibri"/>
            </a:rPr>
            <a:t>Click to view </a:t>
          </a:r>
        </a:p>
      </xdr:txBody>
    </xdr:sp>
    <xdr:clientData/>
  </xdr:twoCellAnchor>
  <mc:AlternateContent xmlns:mc="http://schemas.openxmlformats.org/markup-compatibility/2006">
    <mc:Choice xmlns:a14="http://schemas.microsoft.com/office/drawing/2010/main" Requires="a14">
      <xdr:twoCellAnchor editAs="oneCell">
        <xdr:from>
          <xdr:col>4</xdr:col>
          <xdr:colOff>38100</xdr:colOff>
          <xdr:row>13</xdr:row>
          <xdr:rowOff>123825</xdr:rowOff>
        </xdr:from>
        <xdr:to>
          <xdr:col>5</xdr:col>
          <xdr:colOff>104775</xdr:colOff>
          <xdr:row>15</xdr:row>
          <xdr:rowOff>0</xdr:rowOff>
        </xdr:to>
        <xdr:sp macro="" textlink="">
          <xdr:nvSpPr>
            <xdr:cNvPr id="123931" name="Drop Down 27" hidden="1">
              <a:extLst>
                <a:ext uri="{63B3BB69-23CF-44E3-9099-C40C66FF867C}">
                  <a14:compatExt spid="_x0000_s1239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15</xdr:row>
          <xdr:rowOff>114300</xdr:rowOff>
        </xdr:from>
        <xdr:to>
          <xdr:col>6</xdr:col>
          <xdr:colOff>38100</xdr:colOff>
          <xdr:row>16</xdr:row>
          <xdr:rowOff>152400</xdr:rowOff>
        </xdr:to>
        <xdr:sp macro="" textlink="">
          <xdr:nvSpPr>
            <xdr:cNvPr id="123932" name="Drop Down 28" hidden="1">
              <a:extLst>
                <a:ext uri="{63B3BB69-23CF-44E3-9099-C40C66FF867C}">
                  <a14:compatExt spid="_x0000_s1239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104775</xdr:rowOff>
        </xdr:from>
        <xdr:to>
          <xdr:col>5</xdr:col>
          <xdr:colOff>381000</xdr:colOff>
          <xdr:row>12</xdr:row>
          <xdr:rowOff>142875</xdr:rowOff>
        </xdr:to>
        <xdr:sp macro="" textlink="">
          <xdr:nvSpPr>
            <xdr:cNvPr id="123936" name="Drop Down 32" hidden="1">
              <a:extLst>
                <a:ext uri="{63B3BB69-23CF-44E3-9099-C40C66FF867C}">
                  <a14:compatExt spid="_x0000_s1239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15</xdr:row>
          <xdr:rowOff>28575</xdr:rowOff>
        </xdr:from>
        <xdr:to>
          <xdr:col>11</xdr:col>
          <xdr:colOff>466725</xdr:colOff>
          <xdr:row>17</xdr:row>
          <xdr:rowOff>28575</xdr:rowOff>
        </xdr:to>
        <xdr:pic>
          <xdr:nvPicPr>
            <xdr:cNvPr id="176976" name="TextBox2"/>
            <xdr:cNvPicPr preferRelativeResize="0">
              <a:picLocks noChangeArrowheads="1" noChangeShapeType="1"/>
              <a:extLst>
                <a:ext uri="{84589F7E-364E-4C9E-8A38-B11213B215E9}">
                  <a14:cameraTool cellRange="FinYear" spid="_x0000_s177005"/>
                </a:ext>
              </a:extLst>
            </xdr:cNvPicPr>
          </xdr:nvPicPr>
          <xdr:blipFill>
            <a:blip xmlns:r="http://schemas.openxmlformats.org/officeDocument/2006/relationships" r:embed="rId8">
              <a:grayscl/>
              <a:biLevel thresh="50000"/>
            </a:blip>
            <a:srcRect/>
            <a:stretch>
              <a:fillRect/>
            </a:stretch>
          </xdr:blipFill>
          <xdr:spPr bwMode="auto">
            <a:xfrm>
              <a:off x="6067425" y="2457450"/>
              <a:ext cx="1104900" cy="32385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xdr:row>
          <xdr:rowOff>85725</xdr:rowOff>
        </xdr:from>
        <xdr:to>
          <xdr:col>8</xdr:col>
          <xdr:colOff>400050</xdr:colOff>
          <xdr:row>6</xdr:row>
          <xdr:rowOff>123825</xdr:rowOff>
        </xdr:to>
        <xdr:sp macro="" textlink="">
          <xdr:nvSpPr>
            <xdr:cNvPr id="123946" name="TextBox3" hidden="1">
              <a:extLst>
                <a:ext uri="{63B3BB69-23CF-44E3-9099-C40C66FF867C}">
                  <a14:compatExt spid="_x0000_s1239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7</xdr:row>
          <xdr:rowOff>66675</xdr:rowOff>
        </xdr:from>
        <xdr:to>
          <xdr:col>5</xdr:col>
          <xdr:colOff>600075</xdr:colOff>
          <xdr:row>8</xdr:row>
          <xdr:rowOff>95250</xdr:rowOff>
        </xdr:to>
        <xdr:sp macro="" textlink="">
          <xdr:nvSpPr>
            <xdr:cNvPr id="123947" name="TextBox4" hidden="1">
              <a:extLst>
                <a:ext uri="{63B3BB69-23CF-44E3-9099-C40C66FF867C}">
                  <a14:compatExt spid="_x0000_s1239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38100</xdr:rowOff>
        </xdr:from>
        <xdr:to>
          <xdr:col>8</xdr:col>
          <xdr:colOff>400050</xdr:colOff>
          <xdr:row>10</xdr:row>
          <xdr:rowOff>66675</xdr:rowOff>
        </xdr:to>
        <xdr:sp macro="" textlink="">
          <xdr:nvSpPr>
            <xdr:cNvPr id="123948" name="TextBox5" hidden="1">
              <a:extLst>
                <a:ext uri="{63B3BB69-23CF-44E3-9099-C40C66FF867C}">
                  <a14:compatExt spid="_x0000_s1239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7</xdr:row>
          <xdr:rowOff>76200</xdr:rowOff>
        </xdr:from>
        <xdr:to>
          <xdr:col>8</xdr:col>
          <xdr:colOff>400050</xdr:colOff>
          <xdr:row>8</xdr:row>
          <xdr:rowOff>104775</xdr:rowOff>
        </xdr:to>
        <xdr:sp macro="" textlink="">
          <xdr:nvSpPr>
            <xdr:cNvPr id="123950" name="TextBox6" hidden="1">
              <a:extLst>
                <a:ext uri="{63B3BB69-23CF-44E3-9099-C40C66FF867C}">
                  <a14:compatExt spid="_x0000_s1239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28</xdr:row>
          <xdr:rowOff>57150</xdr:rowOff>
        </xdr:from>
        <xdr:to>
          <xdr:col>4</xdr:col>
          <xdr:colOff>47625</xdr:colOff>
          <xdr:row>29</xdr:row>
          <xdr:rowOff>133350</xdr:rowOff>
        </xdr:to>
        <xdr:sp macro="" textlink="">
          <xdr:nvSpPr>
            <xdr:cNvPr id="124039" name="ToggleReferenceColumns" hidden="1">
              <a:extLst>
                <a:ext uri="{63B3BB69-23CF-44E3-9099-C40C66FF867C}">
                  <a14:compatExt spid="_x0000_s1240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95250</xdr:rowOff>
        </xdr:from>
        <xdr:to>
          <xdr:col>4</xdr:col>
          <xdr:colOff>57150</xdr:colOff>
          <xdr:row>28</xdr:row>
          <xdr:rowOff>19050</xdr:rowOff>
        </xdr:to>
        <xdr:sp macro="" textlink="">
          <xdr:nvSpPr>
            <xdr:cNvPr id="124040" name="TogglePreAuditColums" hidden="1">
              <a:extLst>
                <a:ext uri="{63B3BB69-23CF-44E3-9099-C40C66FF867C}">
                  <a14:compatExt spid="_x0000_s1240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142875</xdr:rowOff>
        </xdr:from>
        <xdr:to>
          <xdr:col>4</xdr:col>
          <xdr:colOff>38100</xdr:colOff>
          <xdr:row>33</xdr:row>
          <xdr:rowOff>76200</xdr:rowOff>
        </xdr:to>
        <xdr:sp macro="" textlink="">
          <xdr:nvSpPr>
            <xdr:cNvPr id="124042" name="ToggleHiddenColumns" hidden="1">
              <a:extLst>
                <a:ext uri="{63B3BB69-23CF-44E3-9099-C40C66FF867C}">
                  <a14:compatExt spid="_x0000_s1240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3</xdr:row>
          <xdr:rowOff>57150</xdr:rowOff>
        </xdr:from>
        <xdr:to>
          <xdr:col>8</xdr:col>
          <xdr:colOff>409575</xdr:colOff>
          <xdr:row>4</xdr:row>
          <xdr:rowOff>85725</xdr:rowOff>
        </xdr:to>
        <xdr:sp macro="" textlink="">
          <xdr:nvSpPr>
            <xdr:cNvPr id="124151" name="Drop Down 247" hidden="1">
              <a:extLst>
                <a:ext uri="{63B3BB69-23CF-44E3-9099-C40C66FF867C}">
                  <a14:compatExt spid="_x0000_s124151"/>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285750</xdr:colOff>
          <xdr:row>2</xdr:row>
          <xdr:rowOff>9525</xdr:rowOff>
        </xdr:from>
        <xdr:to>
          <xdr:col>4</xdr:col>
          <xdr:colOff>1990725</xdr:colOff>
          <xdr:row>4</xdr:row>
          <xdr:rowOff>9525</xdr:rowOff>
        </xdr:to>
        <xdr:sp macro="" textlink="">
          <xdr:nvSpPr>
            <xdr:cNvPr id="75786" name="Button 10" hidden="1">
              <a:extLst>
                <a:ext uri="{63B3BB69-23CF-44E3-9099-C40C66FF867C}">
                  <a14:compatExt spid="_x0000_s7578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endParaRPr lang="en-ZA"/>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504825</xdr:colOff>
      <xdr:row>0</xdr:row>
      <xdr:rowOff>19050</xdr:rowOff>
    </xdr:from>
    <xdr:to>
      <xdr:col>3</xdr:col>
      <xdr:colOff>0</xdr:colOff>
      <xdr:row>0</xdr:row>
      <xdr:rowOff>438150</xdr:rowOff>
    </xdr:to>
    <xdr:sp macro="" textlink="">
      <xdr:nvSpPr>
        <xdr:cNvPr id="10" name="Text Box 18"/>
        <xdr:cNvSpPr txBox="1">
          <a:spLocks noChangeArrowheads="1"/>
        </xdr:cNvSpPr>
      </xdr:nvSpPr>
      <xdr:spPr bwMode="auto">
        <a:xfrm>
          <a:off x="2886075"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8"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11" name="Text Box 18"/>
        <xdr:cNvSpPr txBox="1">
          <a:spLocks noChangeArrowheads="1"/>
        </xdr:cNvSpPr>
      </xdr:nvSpPr>
      <xdr:spPr bwMode="auto">
        <a:xfrm>
          <a:off x="6210300" y="0"/>
          <a:ext cx="42291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25454"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1209675</xdr:colOff>
      <xdr:row>0</xdr:row>
      <xdr:rowOff>0</xdr:rowOff>
    </xdr:from>
    <xdr:to>
      <xdr:col>1</xdr:col>
      <xdr:colOff>228600</xdr:colOff>
      <xdr:row>0</xdr:row>
      <xdr:rowOff>0</xdr:rowOff>
    </xdr:to>
    <xdr:sp macro="" textlink="">
      <xdr:nvSpPr>
        <xdr:cNvPr id="55297" name="AutoShape 1"/>
        <xdr:cNvSpPr>
          <a:spLocks noChangeArrowheads="1"/>
        </xdr:cNvSpPr>
      </xdr:nvSpPr>
      <xdr:spPr bwMode="auto">
        <a:xfrm>
          <a:off x="1209675" y="0"/>
          <a:ext cx="83820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1238250</xdr:colOff>
      <xdr:row>0</xdr:row>
      <xdr:rowOff>0</xdr:rowOff>
    </xdr:from>
    <xdr:to>
      <xdr:col>2</xdr:col>
      <xdr:colOff>19050</xdr:colOff>
      <xdr:row>0</xdr:row>
      <xdr:rowOff>0</xdr:rowOff>
    </xdr:to>
    <xdr:sp macro="" textlink="">
      <xdr:nvSpPr>
        <xdr:cNvPr id="55312" name="AutoShape 16"/>
        <xdr:cNvSpPr>
          <a:spLocks noChangeArrowheads="1"/>
        </xdr:cNvSpPr>
      </xdr:nvSpPr>
      <xdr:spPr bwMode="auto">
        <a:xfrm>
          <a:off x="1238250" y="0"/>
          <a:ext cx="8286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obus/Documents/Ubuntu/Budget%202012/B%20Schedule%20-%20Adjustment%20Budget%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obus/AppData/Local/Microsoft/Windows/Temporary%20Internet%20Files/Content.Outlook/GET87OWK/excel/FINANSIES%202007-2008/Fin%20-%20State/Fin%20-%20State%202007%20-%202008/GRAP%20State%2007-08%20Final%20-%20Johan%20Jansen/STATE%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B1-Sum"/>
      <sheetName val="B2-FinPerf SC"/>
      <sheetName val="B2B"/>
      <sheetName val="B3-FinPerf V"/>
      <sheetName val="B3B"/>
      <sheetName val="B4-FinPerf RE"/>
      <sheetName val="B5-Capex"/>
      <sheetName val="B5B"/>
      <sheetName val="B6-FinPos"/>
      <sheetName val="B7-CFlow"/>
      <sheetName val="B8-ResRecon"/>
      <sheetName val="B9-Asset"/>
      <sheetName val="B10-SerDel"/>
      <sheetName val="SB1"/>
      <sheetName val="SB2"/>
      <sheetName val="SB3"/>
      <sheetName val="SB4"/>
      <sheetName val="SB5"/>
      <sheetName val="SB6"/>
      <sheetName val="SB7"/>
      <sheetName val="SB8"/>
      <sheetName val="SB9"/>
      <sheetName val="SB10"/>
      <sheetName val="SB11"/>
      <sheetName val="SB12"/>
      <sheetName val="SB13"/>
      <sheetName val="SB14"/>
      <sheetName val="SB15"/>
      <sheetName val="SB16"/>
      <sheetName val="SB17"/>
      <sheetName val="SB18a"/>
      <sheetName val="SB18b"/>
      <sheetName val="SB18c"/>
      <sheetName val="SB19"/>
      <sheetName val="SB20"/>
      <sheetName val="Internal Charges"/>
      <sheetName val="TB"/>
      <sheetName val="Sheet2"/>
      <sheetName val="Sheet1"/>
      <sheetName val="B Schedule - Adjustment Budget "/>
    </sheetNames>
    <sheetDataSet>
      <sheetData sheetId="0"/>
      <sheetData sheetId="1">
        <row r="10">
          <cell r="X10" t="str">
            <v>29/2/2011</v>
          </cell>
        </row>
      </sheetData>
      <sheetData sheetId="2">
        <row r="2">
          <cell r="B2" t="str">
            <v>2010/11</v>
          </cell>
        </row>
        <row r="8">
          <cell r="B8" t="str">
            <v>Medium Term Revenue and Expenditure Framework</v>
          </cell>
        </row>
        <row r="68">
          <cell r="B68" t="str">
            <v>Table B3 Adjustments Budget Financial Performance (revenue and expenditure by municipal vote)</v>
          </cell>
        </row>
        <row r="69">
          <cell r="B69" t="str">
            <v>Table B2 Adjustments Budget Financial Performance (standard classification)</v>
          </cell>
        </row>
        <row r="70">
          <cell r="B70" t="str">
            <v>Table B4 Adjustments Budget Financial Performance (revenue and expenditure)</v>
          </cell>
        </row>
        <row r="71">
          <cell r="B71" t="str">
            <v>Table B5 Adjustments Capital Expenditure Budget by vote and funding</v>
          </cell>
        </row>
        <row r="72">
          <cell r="B72" t="str">
            <v>Table B6 Adjustments Budget Financial Position</v>
          </cell>
        </row>
        <row r="73">
          <cell r="B73" t="str">
            <v>Table B7 Adjustments Budget Cash Flows</v>
          </cell>
        </row>
        <row r="74">
          <cell r="B74" t="str">
            <v>Table B8 Cash backed reserves/accumulated surplus reconciliation</v>
          </cell>
        </row>
        <row r="75">
          <cell r="B75" t="str">
            <v>Table B9 Asset Management</v>
          </cell>
        </row>
        <row r="76">
          <cell r="B76" t="str">
            <v>Table B10 Basic service delivery measurement</v>
          </cell>
        </row>
        <row r="77">
          <cell r="B77" t="str">
            <v>Supporting Table SB1 Supporting detail to 'Budgeted Financial Performance'</v>
          </cell>
        </row>
        <row r="78">
          <cell r="B78" t="str">
            <v>Supporting Table SB2 Supporting detail to 'Financial Position Budget'</v>
          </cell>
        </row>
        <row r="79">
          <cell r="B79" t="str">
            <v>Supporting Table SB3 Adjustments to the SDBIP - performance objectives</v>
          </cell>
        </row>
        <row r="80">
          <cell r="B80" t="str">
            <v>Supporting Table SB4 Adjustments to budgeted performance indicators and benchmarks</v>
          </cell>
        </row>
        <row r="81">
          <cell r="B81" t="str">
            <v>Supporting Table SB5 Adjustments Budget - social, economic and demographic statistics and assumptions</v>
          </cell>
        </row>
        <row r="82">
          <cell r="B82" t="str">
            <v>Supporting Table SB6 Adjustments Budget - funding measurement</v>
          </cell>
        </row>
        <row r="83">
          <cell r="B83" t="str">
            <v>Supporting Table SB7 Adjustments Budget - transfers and grant receipts</v>
          </cell>
        </row>
        <row r="84">
          <cell r="B84" t="str">
            <v>Supporting Table SB8 Adjustments Budget - expenditure on transfers and grant programme</v>
          </cell>
        </row>
        <row r="85">
          <cell r="B85" t="str">
            <v>Supporting Table SB9 Adjustments Budget - reconciliation of transfers, grant receipts, and unspent funds</v>
          </cell>
        </row>
        <row r="86">
          <cell r="B86" t="str">
            <v>Supporting Table SB10 Adjustments Budget - transfers and grants made by the municipality</v>
          </cell>
        </row>
        <row r="87">
          <cell r="B87" t="str">
            <v>Supporting Table SB11 Adjustments Budget - councillor and staff benefits</v>
          </cell>
        </row>
        <row r="88">
          <cell r="B88" t="str">
            <v>Supporting Table SB12 Adjustments Budget - monthly revenue and expenditure (municipal vote)</v>
          </cell>
        </row>
        <row r="89">
          <cell r="B89" t="str">
            <v>Supporting Table SB13 Adjustments Budget - monthly revenue and expenditure (standard classification)</v>
          </cell>
        </row>
        <row r="90">
          <cell r="B90" t="str">
            <v>Supporting Table SB14 Adjustments Budget - monthly revenue and expenditure</v>
          </cell>
        </row>
        <row r="91">
          <cell r="B91" t="str">
            <v>Supporting Table SB15 Adjustments Budget - monthly cash flow</v>
          </cell>
        </row>
        <row r="92">
          <cell r="B92" t="str">
            <v>Supporting Table SB16 Adjustments Budget - monthly capital expenditure (municipal vote)</v>
          </cell>
        </row>
        <row r="93">
          <cell r="B93" t="str">
            <v>Supporting Table SB17 Adjustments Budget - monthly capital expenditure (standard classification)</v>
          </cell>
        </row>
        <row r="94">
          <cell r="B94" t="str">
            <v>Supporting Table SB18a Adjustments Budget - capital expenditure on new assets by asset class</v>
          </cell>
        </row>
        <row r="95">
          <cell r="B95" t="str">
            <v>Supporting Table SB18b Adjustments Budget - capital expenditure on renewal of existing assets by asset class</v>
          </cell>
        </row>
        <row r="96">
          <cell r="B96" t="str">
            <v>Supporting Table SB18c Adjustments Budget - expenditure on repairs and maintenance by asset class</v>
          </cell>
        </row>
        <row r="97">
          <cell r="B97" t="str">
            <v>Supporting Table SB19 List of capital programmes and projects affected by Adjustments Budget</v>
          </cell>
        </row>
        <row r="98">
          <cell r="B98" t="str">
            <v>Supporting Table SB20 Not required</v>
          </cell>
        </row>
      </sheetData>
      <sheetData sheetId="3">
        <row r="1">
          <cell r="B1">
            <v>2007</v>
          </cell>
        </row>
        <row r="2">
          <cell r="R2" t="str">
            <v>Equitable share</v>
          </cell>
          <cell r="S2" t="str">
            <v>Health</v>
          </cell>
          <cell r="T2" t="str">
            <v>Municipal Infrastructure (MIG)</v>
          </cell>
        </row>
        <row r="3">
          <cell r="R3" t="str">
            <v>Levy replacement</v>
          </cell>
          <cell r="S3" t="str">
            <v>Ambulance</v>
          </cell>
          <cell r="T3" t="str">
            <v>Public Transport</v>
          </cell>
        </row>
        <row r="4">
          <cell r="R4" t="str">
            <v>Finance Management</v>
          </cell>
          <cell r="S4" t="str">
            <v>Housing</v>
          </cell>
          <cell r="T4" t="str">
            <v>Public Works</v>
          </cell>
        </row>
        <row r="5">
          <cell r="R5" t="str">
            <v>Municipal Systems Improvement</v>
          </cell>
          <cell r="S5" t="str">
            <v>Sports and Recreation</v>
          </cell>
          <cell r="T5" t="str">
            <v>Sport and Recreation</v>
          </cell>
        </row>
        <row r="6">
          <cell r="R6" t="str">
            <v>Restructuring</v>
          </cell>
          <cell r="T6" t="str">
            <v>Water Affairs</v>
          </cell>
        </row>
        <row r="7">
          <cell r="R7" t="str">
            <v>Department of Water Affairs</v>
          </cell>
        </row>
      </sheetData>
      <sheetData sheetId="4">
        <row r="2">
          <cell r="A2" t="str">
            <v>Budget &amp; Treasury</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
      <sheetName val="Alg"/>
      <sheetName val="VOORW"/>
      <sheetName val="Oudit"/>
      <sheetName val="Verslag"/>
      <sheetName val="Beleid"/>
      <sheetName val="Balans"/>
      <sheetName val="I_E"/>
      <sheetName val="C_FLOW"/>
      <sheetName val="AANT"/>
      <sheetName val="A"/>
      <sheetName val="B"/>
      <sheetName val="C"/>
      <sheetName val="D"/>
      <sheetName val="E"/>
      <sheetName val="F"/>
      <sheetName val="INK_UIT"/>
      <sheetName val="KAP"/>
      <sheetName val="bates verk"/>
      <sheetName val="PROEF 2"/>
      <sheetName val="VERLOF"/>
      <sheetName val="ADMIN"/>
      <sheetName val="KONTVL"/>
      <sheetName val="STA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efreshError="1"/>
      <sheetData sheetId="2" refreshError="1">
        <row r="2">
          <cell r="B2" t="str">
            <v>2009/10</v>
          </cell>
        </row>
        <row r="122">
          <cell r="B122" t="str">
            <v>Supporting Table SA12 Property rates by category (current year)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5.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8" Type="http://schemas.openxmlformats.org/officeDocument/2006/relationships/hyperlink" Target="mailto:pjantjies@ubuntu.gov.za" TargetMode="External"/><Relationship Id="rId3" Type="http://schemas.openxmlformats.org/officeDocument/2006/relationships/hyperlink" Target="mailto:mfillis@ubuntu.gov.za" TargetMode="External"/><Relationship Id="rId7" Type="http://schemas.openxmlformats.org/officeDocument/2006/relationships/hyperlink" Target="mailto:bonita@ubuntu.gov.za" TargetMode="External"/><Relationship Id="rId2" Type="http://schemas.openxmlformats.org/officeDocument/2006/relationships/hyperlink" Target="mailto:info@ubuntu.gov.za" TargetMode="External"/><Relationship Id="rId1" Type="http://schemas.openxmlformats.org/officeDocument/2006/relationships/hyperlink" Target="http://www.ubuntu.gov.za/" TargetMode="External"/><Relationship Id="rId6" Type="http://schemas.openxmlformats.org/officeDocument/2006/relationships/hyperlink" Target="mailto:bonita@ubuntu.gov.za" TargetMode="External"/><Relationship Id="rId5" Type="http://schemas.openxmlformats.org/officeDocument/2006/relationships/hyperlink" Target="mailto:cfo@ubuntu.gov.za" TargetMode="External"/><Relationship Id="rId4" Type="http://schemas.openxmlformats.org/officeDocument/2006/relationships/hyperlink" Target="mailto:cfo@ubuntu.gov.za" TargetMode="External"/><Relationship Id="rId9"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enableFormatConditionsCalculation="0">
    <tabColor indexed="46"/>
    <pageSetUpPr fitToPage="1"/>
  </sheetPr>
  <dimension ref="A1"/>
  <sheetViews>
    <sheetView showGridLines="0" tabSelected="1" workbookViewId="0">
      <selection activeCell="I39" sqref="I39"/>
    </sheetView>
  </sheetViews>
  <sheetFormatPr defaultColWidth="8" defaultRowHeight="12.75" x14ac:dyDescent="0.2"/>
  <cols>
    <col min="1" max="16384" width="8" style="1111"/>
  </cols>
  <sheetData>
    <row r="1" spans="1:1" x14ac:dyDescent="0.2">
      <c r="A1" s="1653"/>
    </row>
  </sheetData>
  <sheetProtection sheet="1" objects="1" scenarios="1"/>
  <phoneticPr fontId="27" type="noConversion"/>
  <pageMargins left="0.75" right="0.75" top="1" bottom="1" header="0.5" footer="0.5"/>
  <pageSetup scale="75" orientation="portrait" horizontalDpi="4294967293" verticalDpi="2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tabColor indexed="44"/>
    <pageSetUpPr fitToPage="1"/>
  </sheetPr>
  <dimension ref="A1:X77"/>
  <sheetViews>
    <sheetView showGridLines="0" tabSelected="1" workbookViewId="0">
      <selection activeCell="I39" sqref="I39"/>
    </sheetView>
  </sheetViews>
  <sheetFormatPr defaultRowHeight="12.75" x14ac:dyDescent="0.25"/>
  <cols>
    <col min="1" max="1" width="30.7109375" style="148" customWidth="1"/>
    <col min="2" max="2" width="3" style="845" customWidth="1"/>
    <col min="3" max="11" width="9.28515625" style="148" customWidth="1"/>
    <col min="12" max="23" width="9.140625" style="148" hidden="1" customWidth="1"/>
    <col min="24" max="16384" width="9.140625" style="148"/>
  </cols>
  <sheetData>
    <row r="1" spans="1:24" s="178" customFormat="1" x14ac:dyDescent="0.2">
      <c r="A1" s="894" t="str">
        <f>muni&amp;" - "&amp;Approve2</f>
        <v>NC071 Ubuntu - Table A3 Budgeted Financial Performance (revenue and expenditure by municipal vote)</v>
      </c>
      <c r="B1" s="894"/>
      <c r="C1" s="894"/>
      <c r="D1" s="894"/>
      <c r="E1" s="894"/>
      <c r="F1" s="894"/>
      <c r="G1" s="894"/>
      <c r="H1" s="894"/>
      <c r="I1" s="894"/>
      <c r="J1" s="894"/>
      <c r="K1" s="894"/>
    </row>
    <row r="2" spans="1:24" ht="28.5" customHeight="1" x14ac:dyDescent="0.25">
      <c r="A2" s="966" t="str">
        <f>Vdesc</f>
        <v>Vote Description</v>
      </c>
      <c r="B2" s="967" t="str">
        <f>head27</f>
        <v>Ref</v>
      </c>
      <c r="C2" s="896" t="str">
        <f>head1b</f>
        <v>2008/9</v>
      </c>
      <c r="D2" s="896" t="str">
        <f>head1A</f>
        <v>2009/10</v>
      </c>
      <c r="E2" s="897" t="str">
        <f>Head1</f>
        <v>2010/11</v>
      </c>
      <c r="F2" s="2706" t="str">
        <f>Head2</f>
        <v>Current Year 2011/12</v>
      </c>
      <c r="G2" s="2707"/>
      <c r="H2" s="2707"/>
      <c r="I2" s="2708" t="str">
        <f>Head3</f>
        <v>2012/13 Medium Term Revenue &amp; Expenditure Framework</v>
      </c>
      <c r="J2" s="2709"/>
      <c r="K2" s="2710"/>
      <c r="L2" s="2711" t="str">
        <f>Head4</f>
        <v>LTFS</v>
      </c>
      <c r="M2" s="2712"/>
      <c r="N2" s="2712"/>
      <c r="O2" s="2712"/>
      <c r="P2" s="2712"/>
      <c r="Q2" s="2712"/>
      <c r="R2" s="2712"/>
      <c r="S2" s="2712"/>
      <c r="T2" s="2712"/>
      <c r="U2" s="2712"/>
      <c r="V2" s="2712"/>
      <c r="W2" s="2713"/>
    </row>
    <row r="3" spans="1:24" ht="25.5" x14ac:dyDescent="0.25">
      <c r="A3" s="968" t="s">
        <v>667</v>
      </c>
      <c r="B3" s="969"/>
      <c r="C3" s="898" t="str">
        <f>Head5</f>
        <v>Audited Outcome</v>
      </c>
      <c r="D3" s="898" t="str">
        <f>Head5</f>
        <v>Audited Outcome</v>
      </c>
      <c r="E3" s="899" t="str">
        <f>Head5</f>
        <v>Audited Outcome</v>
      </c>
      <c r="F3" s="900" t="str">
        <f>Head6</f>
        <v>Original Budget</v>
      </c>
      <c r="G3" s="898" t="str">
        <f>Head7</f>
        <v>Adjusted Budget</v>
      </c>
      <c r="H3" s="899" t="str">
        <f>Head8</f>
        <v>Full Year Forecast</v>
      </c>
      <c r="I3" s="900" t="str">
        <f>Head9</f>
        <v>Budget Year 2012/13</v>
      </c>
      <c r="J3" s="898" t="str">
        <f>Head10</f>
        <v>Budget Year +1 2013/14</v>
      </c>
      <c r="K3" s="899" t="str">
        <f>Head11</f>
        <v>Budget Year +2 2014/15</v>
      </c>
      <c r="L3" s="1261" t="str">
        <f>Head12</f>
        <v>Forecast 2015/16</v>
      </c>
      <c r="M3" s="1262" t="str">
        <f>Head13</f>
        <v>Forecast 2016/17</v>
      </c>
      <c r="N3" s="1262" t="str">
        <f>Head14</f>
        <v>Forecast 2017/18</v>
      </c>
      <c r="O3" s="1262" t="str">
        <f>Head15</f>
        <v>Forecast 2018/19</v>
      </c>
      <c r="P3" s="1262" t="str">
        <f>Head16</f>
        <v>Forecast 2019/20</v>
      </c>
      <c r="Q3" s="1262" t="str">
        <f>Head17</f>
        <v>Forecast 2020/21</v>
      </c>
      <c r="R3" s="1262" t="str">
        <f>Head18</f>
        <v>Forecast 2021/22</v>
      </c>
      <c r="S3" s="1262" t="str">
        <f>Head19</f>
        <v>Forecast 2022/23</v>
      </c>
      <c r="T3" s="1262" t="str">
        <f>Head20</f>
        <v>Forecast 2023/24</v>
      </c>
      <c r="U3" s="1262" t="str">
        <f>Head21</f>
        <v>Forecast 2024/25</v>
      </c>
      <c r="V3" s="1262" t="str">
        <f>Head22</f>
        <v>Forecast 2025/26</v>
      </c>
      <c r="W3" s="1262" t="str">
        <f>Head23</f>
        <v>Forecast 2026/27</v>
      </c>
    </row>
    <row r="4" spans="1:24" ht="11.25" customHeight="1" x14ac:dyDescent="0.25">
      <c r="A4" s="970" t="s">
        <v>1375</v>
      </c>
      <c r="B4" s="955">
        <v>1</v>
      </c>
      <c r="C4" s="971"/>
      <c r="D4" s="971"/>
      <c r="E4" s="972"/>
      <c r="F4" s="973"/>
      <c r="G4" s="971"/>
      <c r="H4" s="974"/>
      <c r="I4" s="975"/>
      <c r="J4" s="971"/>
      <c r="K4" s="1648"/>
      <c r="L4" s="187"/>
      <c r="M4" s="188"/>
      <c r="N4" s="188"/>
      <c r="O4" s="188"/>
      <c r="P4" s="188"/>
      <c r="Q4" s="188"/>
      <c r="R4" s="188"/>
      <c r="S4" s="188"/>
      <c r="T4" s="188"/>
      <c r="U4" s="188"/>
      <c r="V4" s="188"/>
      <c r="W4" s="188"/>
    </row>
    <row r="5" spans="1:24" ht="11.25" customHeight="1" x14ac:dyDescent="0.25">
      <c r="A5" s="976" t="str">
        <f>A3A!A5</f>
        <v>Vote 1 - Budget &amp; Treasury</v>
      </c>
      <c r="B5" s="955"/>
      <c r="C5" s="977">
        <f>A3A!C5</f>
        <v>32679776.437341277</v>
      </c>
      <c r="D5" s="977">
        <f>A3A!D5</f>
        <v>19607723.618112948</v>
      </c>
      <c r="E5" s="978">
        <f>A3A!E5</f>
        <v>20370443.278171964</v>
      </c>
      <c r="F5" s="979">
        <f>A3A!F5</f>
        <v>40925898.829999998</v>
      </c>
      <c r="G5" s="977">
        <f>A3A!G5</f>
        <v>24400188</v>
      </c>
      <c r="H5" s="980">
        <f>A3A!H5</f>
        <v>24400188</v>
      </c>
      <c r="I5" s="981">
        <f>A3A!I5</f>
        <v>27552461.085644267</v>
      </c>
      <c r="J5" s="977">
        <f>A3A!J5</f>
        <v>29601068.750782922</v>
      </c>
      <c r="K5" s="1643">
        <f>A3A!K5</f>
        <v>31523432.875829905</v>
      </c>
      <c r="L5" s="187"/>
      <c r="M5" s="188"/>
      <c r="N5" s="188"/>
      <c r="O5" s="188"/>
      <c r="P5" s="188"/>
      <c r="Q5" s="188"/>
      <c r="R5" s="188"/>
      <c r="S5" s="188"/>
      <c r="T5" s="188"/>
      <c r="U5" s="188"/>
      <c r="V5" s="188"/>
      <c r="W5" s="188"/>
    </row>
    <row r="6" spans="1:24" ht="11.25" customHeight="1" x14ac:dyDescent="0.25">
      <c r="A6" s="976" t="str">
        <f>A3A!A16</f>
        <v>Vote 2 - Community &amp; Social Services</v>
      </c>
      <c r="B6" s="955"/>
      <c r="C6" s="977">
        <f>A3A!C16</f>
        <v>15578511.1538</v>
      </c>
      <c r="D6" s="977">
        <f>A3A!D16</f>
        <v>16604239.019999998</v>
      </c>
      <c r="E6" s="978">
        <f>A3A!E16</f>
        <v>20181732.539700001</v>
      </c>
      <c r="F6" s="979">
        <f>A3A!F16</f>
        <v>715000</v>
      </c>
      <c r="G6" s="977">
        <f>A3A!G16</f>
        <v>17625500</v>
      </c>
      <c r="H6" s="980">
        <f>A3A!H16</f>
        <v>17625500</v>
      </c>
      <c r="I6" s="981">
        <f>A3A!I16</f>
        <v>20664100</v>
      </c>
      <c r="J6" s="977">
        <f>A3A!J16</f>
        <v>21903946</v>
      </c>
      <c r="K6" s="1643">
        <f>A3A!K16</f>
        <v>23218182.759999998</v>
      </c>
      <c r="L6" s="187"/>
      <c r="M6" s="188"/>
      <c r="N6" s="188"/>
      <c r="O6" s="188"/>
      <c r="P6" s="188"/>
      <c r="Q6" s="188"/>
      <c r="R6" s="188"/>
      <c r="S6" s="188"/>
      <c r="T6" s="188"/>
      <c r="U6" s="188"/>
      <c r="V6" s="188"/>
      <c r="W6" s="188"/>
    </row>
    <row r="7" spans="1:24" ht="11.25" customHeight="1" x14ac:dyDescent="0.25">
      <c r="A7" s="976" t="str">
        <f>A3A!A27</f>
        <v>Vote 3 - Electricity</v>
      </c>
      <c r="B7" s="955"/>
      <c r="C7" s="977">
        <f>A3A!C27</f>
        <v>9193265.0700000003</v>
      </c>
      <c r="D7" s="977">
        <f>A3A!D27</f>
        <v>7805458.0899999989</v>
      </c>
      <c r="E7" s="978">
        <f>A3A!E27</f>
        <v>8018973.6399999997</v>
      </c>
      <c r="F7" s="979">
        <f>A3A!F27</f>
        <v>5315061</v>
      </c>
      <c r="G7" s="977">
        <f>A3A!G27</f>
        <v>6924255</v>
      </c>
      <c r="H7" s="980">
        <f>A3A!H27</f>
        <v>6924255</v>
      </c>
      <c r="I7" s="981">
        <f>A3A!I27</f>
        <v>10206003.952679999</v>
      </c>
      <c r="J7" s="977">
        <f>A3A!J27</f>
        <v>10818364.189840801</v>
      </c>
      <c r="K7" s="1643">
        <f>A3A!K27</f>
        <v>11467466.037231252</v>
      </c>
      <c r="L7" s="187"/>
      <c r="M7" s="188"/>
      <c r="N7" s="188"/>
      <c r="O7" s="188"/>
      <c r="P7" s="188"/>
      <c r="Q7" s="188"/>
      <c r="R7" s="188"/>
      <c r="S7" s="188"/>
      <c r="T7" s="188"/>
      <c r="U7" s="188"/>
      <c r="V7" s="188"/>
      <c r="W7" s="188"/>
    </row>
    <row r="8" spans="1:24" ht="11.25" customHeight="1" x14ac:dyDescent="0.25">
      <c r="A8" s="976" t="str">
        <f>A3A!A38</f>
        <v>Vote 4 - Executive &amp; Council</v>
      </c>
      <c r="B8" s="955"/>
      <c r="C8" s="977">
        <f>A3A!C38</f>
        <v>263542.83</v>
      </c>
      <c r="D8" s="977">
        <f>A3A!D38</f>
        <v>302441.71000000008</v>
      </c>
      <c r="E8" s="978">
        <f>A3A!E38</f>
        <v>691999.75</v>
      </c>
      <c r="F8" s="979">
        <f>A3A!F38</f>
        <v>873000</v>
      </c>
      <c r="G8" s="977">
        <f>A3A!G38</f>
        <v>1066000</v>
      </c>
      <c r="H8" s="980">
        <f>A3A!H38</f>
        <v>1066000</v>
      </c>
      <c r="I8" s="981">
        <f>A3A!I38</f>
        <v>1423300</v>
      </c>
      <c r="J8" s="977">
        <f>A3A!J38</f>
        <v>1717938</v>
      </c>
      <c r="K8" s="1643">
        <f>A3A!K38</f>
        <v>1969114.28</v>
      </c>
      <c r="L8" s="187"/>
      <c r="M8" s="188"/>
      <c r="N8" s="188"/>
      <c r="O8" s="188"/>
      <c r="P8" s="188"/>
      <c r="Q8" s="188"/>
      <c r="R8" s="188"/>
      <c r="S8" s="188"/>
      <c r="T8" s="188"/>
      <c r="U8" s="188"/>
      <c r="V8" s="188"/>
      <c r="W8" s="188"/>
    </row>
    <row r="9" spans="1:24" ht="11.25" customHeight="1" x14ac:dyDescent="0.25">
      <c r="A9" s="976" t="str">
        <f>A3A!A49</f>
        <v>Vote 5 - Health</v>
      </c>
      <c r="B9" s="955"/>
      <c r="C9" s="977">
        <f>A3A!C49</f>
        <v>137600</v>
      </c>
      <c r="D9" s="977">
        <f>A3A!D49</f>
        <v>68600</v>
      </c>
      <c r="E9" s="978">
        <f>A3A!E49</f>
        <v>8800</v>
      </c>
      <c r="F9" s="979">
        <f>A3A!F49</f>
        <v>149600</v>
      </c>
      <c r="G9" s="977">
        <f>A3A!G49</f>
        <v>9600</v>
      </c>
      <c r="H9" s="980">
        <f>A3A!H49</f>
        <v>9600</v>
      </c>
      <c r="I9" s="981">
        <f>A3A!I49</f>
        <v>10000</v>
      </c>
      <c r="J9" s="977">
        <f>A3A!J49</f>
        <v>10600</v>
      </c>
      <c r="K9" s="1643">
        <f>A3A!K49</f>
        <v>11236</v>
      </c>
      <c r="L9" s="187"/>
      <c r="M9" s="188"/>
      <c r="N9" s="188"/>
      <c r="O9" s="188"/>
      <c r="P9" s="188"/>
      <c r="Q9" s="188"/>
      <c r="R9" s="188"/>
      <c r="S9" s="188"/>
      <c r="T9" s="188"/>
      <c r="U9" s="188"/>
      <c r="V9" s="188"/>
      <c r="W9" s="188"/>
    </row>
    <row r="10" spans="1:24" ht="11.25" customHeight="1" x14ac:dyDescent="0.25">
      <c r="A10" s="976" t="str">
        <f>A3A!A60</f>
        <v>Vote 6 - Planning &amp; Development</v>
      </c>
      <c r="B10" s="955"/>
      <c r="C10" s="977">
        <f>A3A!C60</f>
        <v>1493289.4</v>
      </c>
      <c r="D10" s="977">
        <f>A3A!D60</f>
        <v>1992158.5290000001</v>
      </c>
      <c r="E10" s="978">
        <f>A3A!E60</f>
        <v>2099531.8899999997</v>
      </c>
      <c r="F10" s="979">
        <f>A3A!F60</f>
        <v>95400</v>
      </c>
      <c r="G10" s="977">
        <f>A3A!G60</f>
        <v>9623500</v>
      </c>
      <c r="H10" s="980">
        <f>A3A!H60</f>
        <v>9623500</v>
      </c>
      <c r="I10" s="981">
        <f>A3A!I60</f>
        <v>11597000</v>
      </c>
      <c r="J10" s="977">
        <f>A3A!J60</f>
        <v>12233220</v>
      </c>
      <c r="K10" s="1643">
        <f>A3A!K60</f>
        <v>12940753.200000001</v>
      </c>
      <c r="L10" s="187"/>
      <c r="M10" s="188"/>
      <c r="N10" s="188"/>
      <c r="O10" s="188"/>
      <c r="P10" s="188"/>
      <c r="Q10" s="188"/>
      <c r="R10" s="188"/>
      <c r="S10" s="188"/>
      <c r="T10" s="188"/>
      <c r="U10" s="188"/>
      <c r="V10" s="188"/>
      <c r="W10" s="188"/>
    </row>
    <row r="11" spans="1:24" ht="11.25" customHeight="1" x14ac:dyDescent="0.25">
      <c r="A11" s="976" t="str">
        <f>A3A!A71</f>
        <v>Vote 7 - Public Safety</v>
      </c>
      <c r="B11" s="955"/>
      <c r="C11" s="977">
        <f>A3A!C71</f>
        <v>0</v>
      </c>
      <c r="D11" s="977">
        <f>A3A!D71</f>
        <v>190479.12000000002</v>
      </c>
      <c r="E11" s="978">
        <f>A3A!E71</f>
        <v>7789.45</v>
      </c>
      <c r="F11" s="979">
        <f>A3A!F71</f>
        <v>2000</v>
      </c>
      <c r="G11" s="977">
        <f>A3A!G71</f>
        <v>2000</v>
      </c>
      <c r="H11" s="980">
        <f>A3A!H71</f>
        <v>2000</v>
      </c>
      <c r="I11" s="981">
        <f>A3A!I71</f>
        <v>2000</v>
      </c>
      <c r="J11" s="977">
        <f>A3A!J71</f>
        <v>2120</v>
      </c>
      <c r="K11" s="1643">
        <f>A3A!K71</f>
        <v>2247.2000000000003</v>
      </c>
      <c r="L11" s="187"/>
      <c r="M11" s="188"/>
      <c r="N11" s="188"/>
      <c r="O11" s="188"/>
      <c r="P11" s="188"/>
      <c r="Q11" s="188"/>
      <c r="R11" s="188"/>
      <c r="S11" s="188"/>
      <c r="T11" s="188"/>
      <c r="U11" s="188"/>
      <c r="V11" s="188"/>
      <c r="W11" s="188"/>
    </row>
    <row r="12" spans="1:24" ht="11.25" customHeight="1" x14ac:dyDescent="0.25">
      <c r="A12" s="976" t="str">
        <f>A3A!A82</f>
        <v>Vote 8 - Sport &amp; Recreation</v>
      </c>
      <c r="B12" s="955"/>
      <c r="C12" s="977">
        <f>A3A!C82</f>
        <v>492423.89</v>
      </c>
      <c r="D12" s="977">
        <f>A3A!D82</f>
        <v>21280</v>
      </c>
      <c r="E12" s="978">
        <f>A3A!E82</f>
        <v>15105</v>
      </c>
      <c r="F12" s="979">
        <f>A3A!F82</f>
        <v>12000</v>
      </c>
      <c r="G12" s="977">
        <f>A3A!G82</f>
        <v>12000</v>
      </c>
      <c r="H12" s="980">
        <f>A3A!H82</f>
        <v>12000</v>
      </c>
      <c r="I12" s="981">
        <f>A3A!I82</f>
        <v>6000</v>
      </c>
      <c r="J12" s="977">
        <f>A3A!J82</f>
        <v>6360</v>
      </c>
      <c r="K12" s="1643">
        <f>A3A!K82</f>
        <v>6741.6</v>
      </c>
      <c r="L12" s="187"/>
      <c r="M12" s="188"/>
      <c r="N12" s="188"/>
      <c r="O12" s="188"/>
      <c r="P12" s="188"/>
      <c r="Q12" s="188"/>
      <c r="R12" s="188"/>
      <c r="S12" s="188"/>
      <c r="T12" s="188"/>
      <c r="U12" s="188"/>
      <c r="V12" s="188"/>
      <c r="W12" s="188"/>
    </row>
    <row r="13" spans="1:24" ht="11.25" customHeight="1" x14ac:dyDescent="0.25">
      <c r="A13" s="976" t="str">
        <f>A3A!A93</f>
        <v>Vote 9 - Waste Management</v>
      </c>
      <c r="B13" s="955"/>
      <c r="C13" s="977">
        <f>A3A!C93</f>
        <v>4377778.3600000003</v>
      </c>
      <c r="D13" s="977">
        <f>A3A!D93</f>
        <v>3978824.9400000004</v>
      </c>
      <c r="E13" s="978">
        <f>A3A!E93</f>
        <v>5439052.1299999999</v>
      </c>
      <c r="F13" s="979">
        <f>A3A!F93</f>
        <v>4195866</v>
      </c>
      <c r="G13" s="977">
        <f>A3A!G93</f>
        <v>4224464</v>
      </c>
      <c r="H13" s="980">
        <f>A3A!H93</f>
        <v>4224464</v>
      </c>
      <c r="I13" s="981">
        <f>A3A!I93</f>
        <v>7787632.0241599996</v>
      </c>
      <c r="J13" s="977">
        <f>A3A!J93</f>
        <v>8254889.9456096003</v>
      </c>
      <c r="K13" s="1643">
        <f>A3A!K93</f>
        <v>8750183.3403461799</v>
      </c>
      <c r="L13" s="187"/>
      <c r="M13" s="188"/>
      <c r="N13" s="188"/>
      <c r="O13" s="188"/>
      <c r="P13" s="188"/>
      <c r="Q13" s="188"/>
      <c r="R13" s="188"/>
      <c r="S13" s="188"/>
      <c r="T13" s="188"/>
      <c r="U13" s="188"/>
      <c r="V13" s="188"/>
      <c r="W13" s="188"/>
      <c r="X13" s="338"/>
    </row>
    <row r="14" spans="1:24" ht="11.25" customHeight="1" x14ac:dyDescent="0.25">
      <c r="A14" s="976" t="str">
        <f>A3A!A104</f>
        <v>Vote 10 - Water</v>
      </c>
      <c r="B14" s="955"/>
      <c r="C14" s="977">
        <f>A3A!C104</f>
        <v>5453948.8199999994</v>
      </c>
      <c r="D14" s="977">
        <f>A3A!D104</f>
        <v>12280215.235000003</v>
      </c>
      <c r="E14" s="978">
        <f>A3A!E104</f>
        <v>4036733.3700000006</v>
      </c>
      <c r="F14" s="979">
        <f>A3A!F104</f>
        <v>2116520</v>
      </c>
      <c r="G14" s="977">
        <f>A3A!G104</f>
        <v>3485084</v>
      </c>
      <c r="H14" s="980">
        <f>A3A!H104</f>
        <v>3485084</v>
      </c>
      <c r="I14" s="981">
        <f>A3A!I104</f>
        <v>3458423</v>
      </c>
      <c r="J14" s="1646">
        <f>A3A!J104</f>
        <v>3665928.38</v>
      </c>
      <c r="K14" s="1643">
        <f>A3A!K104</f>
        <v>3885884.0828</v>
      </c>
      <c r="L14" s="187"/>
      <c r="M14" s="188"/>
      <c r="N14" s="188"/>
      <c r="O14" s="188"/>
      <c r="P14" s="188"/>
      <c r="Q14" s="188"/>
      <c r="R14" s="188"/>
      <c r="S14" s="188"/>
      <c r="T14" s="188"/>
      <c r="U14" s="188"/>
      <c r="V14" s="188"/>
      <c r="W14" s="188"/>
      <c r="X14" s="338"/>
    </row>
    <row r="15" spans="1:24" ht="11.25" customHeight="1" x14ac:dyDescent="0.25">
      <c r="A15" s="976" t="str">
        <f>A3A!A115</f>
        <v>Vote 11 - [NAME OF VOTE 11]</v>
      </c>
      <c r="B15" s="955"/>
      <c r="C15" s="191">
        <f>A3A!C115</f>
        <v>0</v>
      </c>
      <c r="D15" s="191">
        <f>A3A!D115</f>
        <v>0</v>
      </c>
      <c r="E15" s="190">
        <f>A3A!E115</f>
        <v>0</v>
      </c>
      <c r="F15" s="193">
        <f>A3A!F115</f>
        <v>0</v>
      </c>
      <c r="G15" s="191">
        <f>A3A!G115</f>
        <v>0</v>
      </c>
      <c r="H15" s="192">
        <f>A3A!H115</f>
        <v>0</v>
      </c>
      <c r="I15" s="1017">
        <f>A3A!I115</f>
        <v>0</v>
      </c>
      <c r="J15" s="190">
        <f>A3A!J115</f>
        <v>0</v>
      </c>
      <c r="K15" s="1018">
        <f>A3A!K115</f>
        <v>0</v>
      </c>
      <c r="L15" s="192">
        <f>A5A!L115</f>
        <v>0</v>
      </c>
      <c r="M15" s="188"/>
      <c r="N15" s="188"/>
      <c r="O15" s="188"/>
      <c r="P15" s="188"/>
      <c r="Q15" s="188"/>
      <c r="R15" s="188"/>
      <c r="S15" s="188"/>
      <c r="T15" s="188"/>
      <c r="U15" s="188"/>
      <c r="V15" s="188"/>
      <c r="W15" s="188"/>
      <c r="X15" s="338"/>
    </row>
    <row r="16" spans="1:24" ht="11.25" customHeight="1" x14ac:dyDescent="0.25">
      <c r="A16" s="976" t="str">
        <f>A3A!A126</f>
        <v>Vote 12 - [NAME OF VOTE 12]</v>
      </c>
      <c r="B16" s="955"/>
      <c r="C16" s="191">
        <f>A3A!C126</f>
        <v>0</v>
      </c>
      <c r="D16" s="191">
        <f>A3A!D126</f>
        <v>0</v>
      </c>
      <c r="E16" s="190">
        <f>A3A!E126</f>
        <v>0</v>
      </c>
      <c r="F16" s="193">
        <f>A3A!F126</f>
        <v>0</v>
      </c>
      <c r="G16" s="191">
        <f>A3A!G126</f>
        <v>0</v>
      </c>
      <c r="H16" s="192">
        <f>A3A!H126</f>
        <v>0</v>
      </c>
      <c r="I16" s="1017">
        <f>A3A!I126</f>
        <v>0</v>
      </c>
      <c r="J16" s="190">
        <f>A3A!J126</f>
        <v>0</v>
      </c>
      <c r="K16" s="1018">
        <f>A3A!K126</f>
        <v>0</v>
      </c>
      <c r="L16" s="192">
        <f>A5A!L126</f>
        <v>0</v>
      </c>
      <c r="M16" s="188"/>
      <c r="N16" s="188"/>
      <c r="O16" s="188"/>
      <c r="P16" s="188"/>
      <c r="Q16" s="188"/>
      <c r="R16" s="188"/>
      <c r="S16" s="188"/>
      <c r="T16" s="188"/>
      <c r="U16" s="188"/>
      <c r="V16" s="188"/>
      <c r="W16" s="188"/>
      <c r="X16" s="338"/>
    </row>
    <row r="17" spans="1:24" ht="11.25" customHeight="1" x14ac:dyDescent="0.25">
      <c r="A17" s="976" t="str">
        <f>A3A!A137</f>
        <v>Vote 13 - [NAME OF VOTE 13]</v>
      </c>
      <c r="B17" s="955"/>
      <c r="C17" s="191">
        <f>A3A!C137</f>
        <v>0</v>
      </c>
      <c r="D17" s="191">
        <f>A3A!D137</f>
        <v>0</v>
      </c>
      <c r="E17" s="190">
        <f>A3A!E137</f>
        <v>0</v>
      </c>
      <c r="F17" s="193">
        <f>A3A!F137</f>
        <v>0</v>
      </c>
      <c r="G17" s="191">
        <f>A3A!G137</f>
        <v>0</v>
      </c>
      <c r="H17" s="192">
        <f>A3A!H137</f>
        <v>0</v>
      </c>
      <c r="I17" s="1017">
        <f>A3A!I137</f>
        <v>0</v>
      </c>
      <c r="J17" s="190">
        <f>A3A!J137</f>
        <v>0</v>
      </c>
      <c r="K17" s="1018">
        <f>A3A!K137</f>
        <v>0</v>
      </c>
      <c r="L17" s="192">
        <f>A5A!L137</f>
        <v>0</v>
      </c>
      <c r="M17" s="188"/>
      <c r="N17" s="188"/>
      <c r="O17" s="188"/>
      <c r="P17" s="188"/>
      <c r="Q17" s="188"/>
      <c r="R17" s="188"/>
      <c r="S17" s="188"/>
      <c r="T17" s="188"/>
      <c r="U17" s="188"/>
      <c r="V17" s="188"/>
      <c r="W17" s="188"/>
      <c r="X17" s="338"/>
    </row>
    <row r="18" spans="1:24" ht="11.25" customHeight="1" x14ac:dyDescent="0.25">
      <c r="A18" s="976" t="str">
        <f>A3A!A148</f>
        <v>Vote 14 - [NAME OF VOTE 14]</v>
      </c>
      <c r="B18" s="955"/>
      <c r="C18" s="191">
        <f>A3A!C148</f>
        <v>0</v>
      </c>
      <c r="D18" s="191">
        <f>A3A!D148</f>
        <v>0</v>
      </c>
      <c r="E18" s="190">
        <f>A3A!E148</f>
        <v>0</v>
      </c>
      <c r="F18" s="193">
        <f>A3A!F148</f>
        <v>0</v>
      </c>
      <c r="G18" s="191">
        <f>A3A!G148</f>
        <v>0</v>
      </c>
      <c r="H18" s="192">
        <f>A3A!H148</f>
        <v>0</v>
      </c>
      <c r="I18" s="1017">
        <f>A3A!I148</f>
        <v>0</v>
      </c>
      <c r="J18" s="190">
        <f>A3A!J148</f>
        <v>0</v>
      </c>
      <c r="K18" s="1018">
        <f>A3A!K148</f>
        <v>0</v>
      </c>
      <c r="L18" s="192">
        <f>A5A!L148</f>
        <v>0</v>
      </c>
      <c r="M18" s="188"/>
      <c r="N18" s="188"/>
      <c r="O18" s="188"/>
      <c r="P18" s="188"/>
      <c r="Q18" s="188"/>
      <c r="R18" s="188"/>
      <c r="S18" s="188"/>
      <c r="T18" s="188"/>
      <c r="U18" s="188"/>
      <c r="V18" s="188"/>
      <c r="W18" s="188"/>
      <c r="X18" s="338"/>
    </row>
    <row r="19" spans="1:24" ht="11.25" customHeight="1" x14ac:dyDescent="0.25">
      <c r="A19" s="976" t="str">
        <f>A3A!A159</f>
        <v>Vote 15 - [NAME OF VOTE 15]</v>
      </c>
      <c r="B19" s="955"/>
      <c r="C19" s="191">
        <f>A3A!C159</f>
        <v>0</v>
      </c>
      <c r="D19" s="191">
        <f>A3A!D159</f>
        <v>0</v>
      </c>
      <c r="E19" s="190">
        <f>A3A!E159</f>
        <v>0</v>
      </c>
      <c r="F19" s="193">
        <f>A3A!F159</f>
        <v>0</v>
      </c>
      <c r="G19" s="191">
        <f>A3A!G159</f>
        <v>0</v>
      </c>
      <c r="H19" s="192">
        <f>A3A!H159</f>
        <v>0</v>
      </c>
      <c r="I19" s="1647">
        <f>A3A!I159</f>
        <v>0</v>
      </c>
      <c r="J19" s="190">
        <f>A3A!J159</f>
        <v>0</v>
      </c>
      <c r="K19" s="1018">
        <f>A3A!K159</f>
        <v>0</v>
      </c>
      <c r="L19" s="192">
        <f>A5A!L159</f>
        <v>0</v>
      </c>
      <c r="M19" s="188"/>
      <c r="N19" s="188"/>
      <c r="O19" s="188"/>
      <c r="P19" s="188"/>
      <c r="Q19" s="188"/>
      <c r="R19" s="188"/>
      <c r="S19" s="188"/>
      <c r="T19" s="188"/>
      <c r="U19" s="188"/>
      <c r="V19" s="188"/>
      <c r="W19" s="188"/>
      <c r="X19" s="338"/>
    </row>
    <row r="20" spans="1:24" ht="11.25" customHeight="1" x14ac:dyDescent="0.25">
      <c r="A20" s="1096" t="s">
        <v>180</v>
      </c>
      <c r="B20" s="1095">
        <v>2</v>
      </c>
      <c r="C20" s="1097">
        <f>SUM(C5:C19)</f>
        <v>69670135.961141273</v>
      </c>
      <c r="D20" s="1097">
        <f t="shared" ref="D20:K20" si="0">SUM(D5:D19)</f>
        <v>62851420.262112945</v>
      </c>
      <c r="E20" s="1098">
        <f t="shared" si="0"/>
        <v>60870161.04787197</v>
      </c>
      <c r="F20" s="1099">
        <f t="shared" si="0"/>
        <v>54400345.829999998</v>
      </c>
      <c r="G20" s="1097">
        <f t="shared" si="0"/>
        <v>67372591</v>
      </c>
      <c r="H20" s="1100">
        <f t="shared" si="0"/>
        <v>67372591</v>
      </c>
      <c r="I20" s="1101">
        <f t="shared" si="0"/>
        <v>82706920.062484264</v>
      </c>
      <c r="J20" s="1097">
        <f t="shared" si="0"/>
        <v>88214435.266233325</v>
      </c>
      <c r="K20" s="1649">
        <f t="shared" si="0"/>
        <v>93775241.376207322</v>
      </c>
      <c r="L20" s="197"/>
      <c r="M20" s="198"/>
      <c r="N20" s="198"/>
      <c r="O20" s="198"/>
      <c r="P20" s="198"/>
      <c r="Q20" s="198"/>
      <c r="R20" s="198"/>
      <c r="S20" s="198"/>
      <c r="T20" s="198"/>
      <c r="U20" s="198"/>
      <c r="V20" s="198"/>
      <c r="W20" s="198"/>
      <c r="X20" s="338"/>
    </row>
    <row r="21" spans="1:24" ht="5.0999999999999996" customHeight="1" x14ac:dyDescent="0.25">
      <c r="A21" s="983"/>
      <c r="B21" s="955"/>
      <c r="C21" s="984"/>
      <c r="D21" s="984"/>
      <c r="E21" s="985"/>
      <c r="F21" s="986"/>
      <c r="G21" s="984"/>
      <c r="H21" s="987"/>
      <c r="I21" s="988"/>
      <c r="J21" s="984"/>
      <c r="K21" s="1650"/>
      <c r="L21" s="194"/>
      <c r="M21" s="195"/>
      <c r="N21" s="195"/>
      <c r="O21" s="195"/>
      <c r="P21" s="195"/>
      <c r="Q21" s="195"/>
      <c r="R21" s="195"/>
      <c r="S21" s="195"/>
      <c r="T21" s="195"/>
      <c r="U21" s="195"/>
      <c r="V21" s="195"/>
      <c r="W21" s="195"/>
      <c r="X21" s="338"/>
    </row>
    <row r="22" spans="1:24" ht="11.25" customHeight="1" x14ac:dyDescent="0.25">
      <c r="A22" s="970" t="s">
        <v>953</v>
      </c>
      <c r="B22" s="955">
        <v>1</v>
      </c>
      <c r="C22" s="984"/>
      <c r="D22" s="984"/>
      <c r="E22" s="985"/>
      <c r="F22" s="986"/>
      <c r="G22" s="984"/>
      <c r="H22" s="987"/>
      <c r="I22" s="988"/>
      <c r="J22" s="984"/>
      <c r="K22" s="1650"/>
      <c r="L22" s="194"/>
      <c r="M22" s="195"/>
      <c r="N22" s="195"/>
      <c r="O22" s="195"/>
      <c r="P22" s="195"/>
      <c r="Q22" s="195"/>
      <c r="R22" s="195"/>
      <c r="S22" s="195"/>
      <c r="T22" s="195"/>
      <c r="U22" s="195"/>
      <c r="V22" s="195"/>
      <c r="W22" s="195"/>
      <c r="X22" s="338"/>
    </row>
    <row r="23" spans="1:24" ht="11.25" customHeight="1" x14ac:dyDescent="0.25">
      <c r="A23" s="976" t="str">
        <f>A3A!A173</f>
        <v>Vote 1 - Budget &amp; Treasury</v>
      </c>
      <c r="B23" s="955"/>
      <c r="C23" s="977">
        <f>A3A!C173</f>
        <v>21993066.730008647</v>
      </c>
      <c r="D23" s="977">
        <f>A3A!D173</f>
        <v>13694688.373702155</v>
      </c>
      <c r="E23" s="978">
        <f>A3A!E173</f>
        <v>10447845.640000002</v>
      </c>
      <c r="F23" s="979">
        <f>A3A!F173</f>
        <v>33690208.37736842</v>
      </c>
      <c r="G23" s="977">
        <f>A3A!G173</f>
        <v>21795826.142857142</v>
      </c>
      <c r="H23" s="980">
        <f>A3A!H173</f>
        <v>21795826.142857142</v>
      </c>
      <c r="I23" s="981">
        <f>A3A!I173</f>
        <v>16354474.257052321</v>
      </c>
      <c r="J23" s="977">
        <f>A3A!J173</f>
        <v>17132742.71247546</v>
      </c>
      <c r="K23" s="1643">
        <f>A3A!K173</f>
        <v>18277107.275223989</v>
      </c>
      <c r="L23" s="194"/>
      <c r="M23" s="195"/>
      <c r="N23" s="195"/>
      <c r="O23" s="195"/>
      <c r="P23" s="195"/>
      <c r="Q23" s="195"/>
      <c r="R23" s="195"/>
      <c r="S23" s="195"/>
      <c r="T23" s="195"/>
      <c r="U23" s="195"/>
      <c r="V23" s="195"/>
      <c r="W23" s="195"/>
      <c r="X23" s="338"/>
    </row>
    <row r="24" spans="1:24" ht="11.25" customHeight="1" x14ac:dyDescent="0.25">
      <c r="A24" s="976" t="str">
        <f>A3A!A184</f>
        <v>Vote 2 - Community &amp; Social Services</v>
      </c>
      <c r="B24" s="955"/>
      <c r="C24" s="977">
        <f>A3A!C184</f>
        <v>3657680.1479741191</v>
      </c>
      <c r="D24" s="977">
        <f>A3A!D184</f>
        <v>14249433.206008008</v>
      </c>
      <c r="E24" s="978">
        <f>A3A!E184</f>
        <v>18065602.419999998</v>
      </c>
      <c r="F24" s="979">
        <f>A3A!F184</f>
        <v>1694922.842094752</v>
      </c>
      <c r="G24" s="977">
        <f>A3A!G184</f>
        <v>22382900.142857142</v>
      </c>
      <c r="H24" s="980">
        <f>A3A!H184</f>
        <v>22382900.142857142</v>
      </c>
      <c r="I24" s="981">
        <f>A3A!I184</f>
        <v>22687055.167830002</v>
      </c>
      <c r="J24" s="977">
        <f>A3A!J184</f>
        <v>24048242.477899801</v>
      </c>
      <c r="K24" s="1643">
        <f>A3A!K184</f>
        <v>25491101.026573792</v>
      </c>
      <c r="L24" s="206"/>
      <c r="M24" s="207"/>
      <c r="N24" s="207"/>
      <c r="O24" s="207"/>
      <c r="P24" s="207"/>
      <c r="Q24" s="207"/>
      <c r="R24" s="207"/>
      <c r="S24" s="207"/>
      <c r="T24" s="207"/>
      <c r="U24" s="207"/>
      <c r="V24" s="207"/>
      <c r="W24" s="207"/>
      <c r="X24" s="338"/>
    </row>
    <row r="25" spans="1:24" ht="11.25" customHeight="1" x14ac:dyDescent="0.25">
      <c r="A25" s="976" t="str">
        <f>A3A!A195</f>
        <v>Vote 3 - Electricity</v>
      </c>
      <c r="B25" s="955"/>
      <c r="C25" s="977">
        <f>A3A!C195</f>
        <v>5752859.9772365438</v>
      </c>
      <c r="D25" s="977">
        <f>A3A!D195</f>
        <v>8010450.4925565645</v>
      </c>
      <c r="E25" s="978">
        <f>A3A!E195</f>
        <v>9569701.9399999995</v>
      </c>
      <c r="F25" s="979">
        <f>A3A!F195</f>
        <v>12312049</v>
      </c>
      <c r="G25" s="977">
        <f>A3A!G195</f>
        <v>14022486</v>
      </c>
      <c r="H25" s="980">
        <f>A3A!H195</f>
        <v>14022486</v>
      </c>
      <c r="I25" s="981">
        <f>A3A!I195</f>
        <v>14099010.668808</v>
      </c>
      <c r="J25" s="977">
        <f>A3A!J195</f>
        <v>14944951.30893648</v>
      </c>
      <c r="K25" s="1643">
        <f>A3A!K195</f>
        <v>15841648.387472671</v>
      </c>
      <c r="L25" s="206"/>
      <c r="M25" s="207"/>
      <c r="N25" s="207"/>
      <c r="O25" s="207"/>
      <c r="P25" s="207"/>
      <c r="Q25" s="207"/>
      <c r="R25" s="207"/>
      <c r="S25" s="207"/>
      <c r="T25" s="207"/>
      <c r="U25" s="207"/>
      <c r="V25" s="207"/>
      <c r="W25" s="207"/>
      <c r="X25" s="338"/>
    </row>
    <row r="26" spans="1:24" ht="11.25" customHeight="1" x14ac:dyDescent="0.25">
      <c r="A26" s="976" t="str">
        <f>A3A!A206</f>
        <v>Vote 4 - Executive &amp; Council</v>
      </c>
      <c r="B26" s="955"/>
      <c r="C26" s="977">
        <f>A3A!C206</f>
        <v>3380476.3800000004</v>
      </c>
      <c r="D26" s="977">
        <f>A3A!D206</f>
        <v>3858513.4914259491</v>
      </c>
      <c r="E26" s="978">
        <f>A3A!E206</f>
        <v>3816751.8799999994</v>
      </c>
      <c r="F26" s="979">
        <f>A3A!F206</f>
        <v>4277883.5493879998</v>
      </c>
      <c r="G26" s="977">
        <f>A3A!G206</f>
        <v>5215333</v>
      </c>
      <c r="H26" s="980">
        <f>A3A!H206</f>
        <v>5215333</v>
      </c>
      <c r="I26" s="981">
        <f>A3A!I206</f>
        <v>7277657.0223940797</v>
      </c>
      <c r="J26" s="977">
        <f>A3A!J206</f>
        <v>5594316.4437377248</v>
      </c>
      <c r="K26" s="1643">
        <f>A3A!K206</f>
        <v>5929975.4303619899</v>
      </c>
      <c r="L26" s="206"/>
      <c r="M26" s="207"/>
      <c r="N26" s="207"/>
      <c r="O26" s="207"/>
      <c r="P26" s="207"/>
      <c r="Q26" s="207"/>
      <c r="R26" s="207"/>
      <c r="S26" s="207"/>
      <c r="T26" s="207"/>
      <c r="U26" s="207"/>
      <c r="V26" s="207"/>
      <c r="W26" s="207"/>
      <c r="X26" s="338"/>
    </row>
    <row r="27" spans="1:24" ht="11.25" customHeight="1" x14ac:dyDescent="0.25">
      <c r="A27" s="976" t="str">
        <f>A3A!A217</f>
        <v>Vote 5 - Health</v>
      </c>
      <c r="B27" s="955"/>
      <c r="C27" s="977">
        <f>A3A!C217</f>
        <v>139843.54</v>
      </c>
      <c r="D27" s="977">
        <f>A3A!D217</f>
        <v>148555.74</v>
      </c>
      <c r="E27" s="978">
        <f>A3A!E217</f>
        <v>149301.62</v>
      </c>
      <c r="F27" s="979">
        <f>A3A!F217</f>
        <v>322913</v>
      </c>
      <c r="G27" s="977">
        <f>A3A!G217</f>
        <v>100300</v>
      </c>
      <c r="H27" s="980">
        <f>A3A!H217</f>
        <v>100300</v>
      </c>
      <c r="I27" s="981">
        <f>A3A!I217</f>
        <v>0</v>
      </c>
      <c r="J27" s="977">
        <f>A3A!J217</f>
        <v>0</v>
      </c>
      <c r="K27" s="1643">
        <f>A3A!K217</f>
        <v>0</v>
      </c>
      <c r="L27" s="206"/>
      <c r="M27" s="207"/>
      <c r="N27" s="207"/>
      <c r="O27" s="207"/>
      <c r="P27" s="207"/>
      <c r="Q27" s="207"/>
      <c r="R27" s="207"/>
      <c r="S27" s="207"/>
      <c r="T27" s="207"/>
      <c r="U27" s="207"/>
      <c r="V27" s="207"/>
      <c r="W27" s="207"/>
      <c r="X27" s="338"/>
    </row>
    <row r="28" spans="1:24" ht="11.25" customHeight="1" x14ac:dyDescent="0.25">
      <c r="A28" s="976" t="str">
        <f>A3A!A228</f>
        <v>Vote 6 - Planning &amp; Development</v>
      </c>
      <c r="B28" s="955"/>
      <c r="C28" s="977">
        <f>A3A!C228</f>
        <v>4782108.4818619583</v>
      </c>
      <c r="D28" s="977">
        <f>A3A!D228</f>
        <v>7077618.7164780824</v>
      </c>
      <c r="E28" s="978">
        <f>A3A!E228</f>
        <v>10684757.439999998</v>
      </c>
      <c r="F28" s="979">
        <f>A3A!F228</f>
        <v>7059156</v>
      </c>
      <c r="G28" s="977">
        <f>A3A!G228</f>
        <v>7989335</v>
      </c>
      <c r="H28" s="980">
        <f>A3A!H228</f>
        <v>7989335</v>
      </c>
      <c r="I28" s="981">
        <f>A3A!I228</f>
        <v>12970774.391064001</v>
      </c>
      <c r="J28" s="977">
        <f>A3A!J228</f>
        <v>13749020.85452784</v>
      </c>
      <c r="K28" s="1643">
        <f>A3A!K228</f>
        <v>14573962.105799511</v>
      </c>
      <c r="L28" s="206"/>
      <c r="M28" s="207"/>
      <c r="N28" s="207"/>
      <c r="O28" s="207"/>
      <c r="P28" s="207"/>
      <c r="Q28" s="207"/>
      <c r="R28" s="207"/>
      <c r="S28" s="207"/>
      <c r="T28" s="207"/>
      <c r="U28" s="207"/>
      <c r="V28" s="207"/>
      <c r="W28" s="207"/>
      <c r="X28" s="338"/>
    </row>
    <row r="29" spans="1:24" ht="11.25" customHeight="1" x14ac:dyDescent="0.25">
      <c r="A29" s="976" t="str">
        <f>A3A!A239</f>
        <v>Vote 7 - Public Safety</v>
      </c>
      <c r="B29" s="955"/>
      <c r="C29" s="977">
        <f>A3A!C239</f>
        <v>28629.749999999996</v>
      </c>
      <c r="D29" s="977">
        <f>A3A!D239</f>
        <v>14895.75</v>
      </c>
      <c r="E29" s="978">
        <f>A3A!E239</f>
        <v>163234.58000000002</v>
      </c>
      <c r="F29" s="979">
        <f>A3A!F239</f>
        <v>181500</v>
      </c>
      <c r="G29" s="977">
        <f>A3A!G239</f>
        <v>186400</v>
      </c>
      <c r="H29" s="980">
        <f>A3A!H239</f>
        <v>186400</v>
      </c>
      <c r="I29" s="981">
        <f>A3A!I239</f>
        <v>335700</v>
      </c>
      <c r="J29" s="977">
        <f>A3A!J239</f>
        <v>355842</v>
      </c>
      <c r="K29" s="1643">
        <f>A3A!K239</f>
        <v>377192.52</v>
      </c>
      <c r="L29" s="206"/>
      <c r="M29" s="207"/>
      <c r="N29" s="207"/>
      <c r="O29" s="207"/>
      <c r="P29" s="207"/>
      <c r="Q29" s="207"/>
      <c r="R29" s="207"/>
      <c r="S29" s="207"/>
      <c r="T29" s="207"/>
      <c r="U29" s="207"/>
      <c r="V29" s="207"/>
      <c r="W29" s="207"/>
      <c r="X29" s="338"/>
    </row>
    <row r="30" spans="1:24" ht="11.25" customHeight="1" x14ac:dyDescent="0.25">
      <c r="A30" s="976" t="str">
        <f>A3A!A250</f>
        <v>Vote 8 - Sport &amp; Recreation</v>
      </c>
      <c r="B30" s="955"/>
      <c r="C30" s="977">
        <f>A3A!C250</f>
        <v>478718.32</v>
      </c>
      <c r="D30" s="977">
        <f>A3A!D250</f>
        <v>23738.29</v>
      </c>
      <c r="E30" s="978">
        <f>A3A!E250</f>
        <v>848.42</v>
      </c>
      <c r="F30" s="979">
        <f>A3A!F250</f>
        <v>169000</v>
      </c>
      <c r="G30" s="977">
        <f>A3A!G250</f>
        <v>120000</v>
      </c>
      <c r="H30" s="980">
        <f>A3A!H250</f>
        <v>120000</v>
      </c>
      <c r="I30" s="981">
        <f>A3A!I250</f>
        <v>148410</v>
      </c>
      <c r="J30" s="977">
        <f>A3A!J250</f>
        <v>157314.6</v>
      </c>
      <c r="K30" s="1643">
        <f>A3A!K250</f>
        <v>166753.476</v>
      </c>
      <c r="L30" s="206"/>
      <c r="M30" s="207"/>
      <c r="N30" s="207"/>
      <c r="O30" s="207"/>
      <c r="P30" s="207"/>
      <c r="Q30" s="207"/>
      <c r="R30" s="207"/>
      <c r="S30" s="207"/>
      <c r="T30" s="207"/>
      <c r="U30" s="207"/>
      <c r="V30" s="207"/>
      <c r="W30" s="207"/>
      <c r="X30" s="338"/>
    </row>
    <row r="31" spans="1:24" ht="11.25" customHeight="1" x14ac:dyDescent="0.25">
      <c r="A31" s="976" t="str">
        <f>A3A!A261</f>
        <v>Vote 9 - Waste Management</v>
      </c>
      <c r="B31" s="955"/>
      <c r="C31" s="977">
        <f>A3A!C261</f>
        <v>5178894.0200000005</v>
      </c>
      <c r="D31" s="977">
        <f>A3A!D261</f>
        <v>8088200.2027694117</v>
      </c>
      <c r="E31" s="978">
        <f>A3A!E261</f>
        <v>7528919.0258037793</v>
      </c>
      <c r="F31" s="979">
        <f>A3A!F261</f>
        <v>7645466</v>
      </c>
      <c r="G31" s="977">
        <f>A3A!G261</f>
        <v>8269883</v>
      </c>
      <c r="H31" s="980">
        <f>A3A!H261</f>
        <v>8269883</v>
      </c>
      <c r="I31" s="981">
        <f>A3A!I261</f>
        <v>8042123.1337907203</v>
      </c>
      <c r="J31" s="977">
        <f>A3A!J261</f>
        <v>8524650.5218181629</v>
      </c>
      <c r="K31" s="1643">
        <f>A3A!K261</f>
        <v>9036129.5531272553</v>
      </c>
      <c r="L31" s="206"/>
      <c r="M31" s="207"/>
      <c r="N31" s="207"/>
      <c r="O31" s="207"/>
      <c r="P31" s="207"/>
      <c r="Q31" s="207"/>
      <c r="R31" s="207"/>
      <c r="S31" s="207"/>
      <c r="T31" s="207"/>
      <c r="U31" s="207"/>
      <c r="V31" s="207"/>
      <c r="W31" s="207"/>
      <c r="X31" s="338"/>
    </row>
    <row r="32" spans="1:24" ht="11.25" customHeight="1" x14ac:dyDescent="0.25">
      <c r="A32" s="976" t="str">
        <f>A3A!A272</f>
        <v>Vote 10 - Water</v>
      </c>
      <c r="B32" s="955"/>
      <c r="C32" s="977">
        <f>A3A!C272</f>
        <v>4991198.3595011821</v>
      </c>
      <c r="D32" s="977">
        <f>A3A!D272</f>
        <v>5404811.2172535928</v>
      </c>
      <c r="E32" s="978">
        <f>A3A!E272</f>
        <v>5497506.4400000004</v>
      </c>
      <c r="F32" s="979">
        <f>A3A!F272</f>
        <v>3719858</v>
      </c>
      <c r="G32" s="977">
        <f>A3A!G272</f>
        <v>2722681</v>
      </c>
      <c r="H32" s="980">
        <f>A3A!H272</f>
        <v>2722681</v>
      </c>
      <c r="I32" s="981">
        <f>A3A!I272</f>
        <v>4382582.4433919992</v>
      </c>
      <c r="J32" s="977">
        <f>A3A!J272</f>
        <v>4645537.3899955209</v>
      </c>
      <c r="K32" s="1643">
        <f>A3A!K272</f>
        <v>4924269.6333952518</v>
      </c>
      <c r="L32" s="206"/>
      <c r="M32" s="207"/>
      <c r="N32" s="207"/>
      <c r="O32" s="207"/>
      <c r="P32" s="207"/>
      <c r="Q32" s="207"/>
      <c r="R32" s="207"/>
      <c r="S32" s="207"/>
      <c r="T32" s="207"/>
      <c r="U32" s="207"/>
      <c r="V32" s="207"/>
      <c r="W32" s="207"/>
      <c r="X32" s="338"/>
    </row>
    <row r="33" spans="1:24" ht="11.25" customHeight="1" x14ac:dyDescent="0.25">
      <c r="A33" s="976" t="str">
        <f>A3A!A283</f>
        <v>Vote 11 - [NAME OF VOTE 11]</v>
      </c>
      <c r="B33" s="955"/>
      <c r="C33" s="301">
        <f>A3A!C283</f>
        <v>0</v>
      </c>
      <c r="D33" s="301">
        <f>A3A!D283</f>
        <v>0</v>
      </c>
      <c r="E33" s="192">
        <f>A3A!E283</f>
        <v>0</v>
      </c>
      <c r="F33" s="193">
        <f>A3A!F283</f>
        <v>0</v>
      </c>
      <c r="G33" s="191">
        <f>A3A!G283</f>
        <v>0</v>
      </c>
      <c r="H33" s="192">
        <f>A3A!H283</f>
        <v>0</v>
      </c>
      <c r="I33" s="1017">
        <f>A3A!I283</f>
        <v>0</v>
      </c>
      <c r="J33" s="191">
        <f>A3A!J283</f>
        <v>0</v>
      </c>
      <c r="K33" s="1018">
        <f>A3A!K283</f>
        <v>0</v>
      </c>
      <c r="L33" s="192">
        <f>A3A!L284</f>
        <v>0</v>
      </c>
      <c r="M33" s="207"/>
      <c r="N33" s="207"/>
      <c r="O33" s="207"/>
      <c r="P33" s="207"/>
      <c r="Q33" s="207"/>
      <c r="R33" s="207"/>
      <c r="S33" s="207"/>
      <c r="T33" s="207"/>
      <c r="U33" s="207"/>
      <c r="V33" s="207"/>
      <c r="W33" s="207"/>
      <c r="X33" s="338"/>
    </row>
    <row r="34" spans="1:24" ht="11.25" customHeight="1" x14ac:dyDescent="0.25">
      <c r="A34" s="976" t="str">
        <f>A3A!A294</f>
        <v>Vote 12 - [NAME OF VOTE 12]</v>
      </c>
      <c r="B34" s="955"/>
      <c r="C34" s="301">
        <f>A3A!C294</f>
        <v>0</v>
      </c>
      <c r="D34" s="301">
        <f>A3A!D294</f>
        <v>0</v>
      </c>
      <c r="E34" s="192">
        <f>A3A!E294</f>
        <v>0</v>
      </c>
      <c r="F34" s="193">
        <f>A3A!F294</f>
        <v>0</v>
      </c>
      <c r="G34" s="191">
        <f>A3A!G294</f>
        <v>0</v>
      </c>
      <c r="H34" s="192">
        <f>A3A!H294</f>
        <v>0</v>
      </c>
      <c r="I34" s="1017">
        <f>A3A!I294</f>
        <v>0</v>
      </c>
      <c r="J34" s="191">
        <f>A3A!J294</f>
        <v>0</v>
      </c>
      <c r="K34" s="1018">
        <f>A3A!K294</f>
        <v>0</v>
      </c>
      <c r="L34" s="192">
        <f>A3A!L295</f>
        <v>0</v>
      </c>
      <c r="M34" s="207"/>
      <c r="N34" s="207"/>
      <c r="O34" s="207"/>
      <c r="P34" s="207"/>
      <c r="Q34" s="207"/>
      <c r="R34" s="207"/>
      <c r="S34" s="207"/>
      <c r="T34" s="207"/>
      <c r="U34" s="207"/>
      <c r="V34" s="207"/>
      <c r="W34" s="207"/>
      <c r="X34" s="338"/>
    </row>
    <row r="35" spans="1:24" ht="11.25" customHeight="1" x14ac:dyDescent="0.25">
      <c r="A35" s="976" t="str">
        <f>A3A!A305</f>
        <v>Vote 13 - [NAME OF VOTE 13]</v>
      </c>
      <c r="B35" s="955"/>
      <c r="C35" s="1232">
        <f>A3A!C305</f>
        <v>0</v>
      </c>
      <c r="D35" s="1232">
        <f>A3A!D305</f>
        <v>0</v>
      </c>
      <c r="E35" s="1233">
        <f>A3A!E305</f>
        <v>0</v>
      </c>
      <c r="F35" s="1234">
        <f>A3A!F305</f>
        <v>0</v>
      </c>
      <c r="G35" s="1192">
        <f>A3A!G305</f>
        <v>0</v>
      </c>
      <c r="H35" s="1233">
        <f>A3A!H305</f>
        <v>0</v>
      </c>
      <c r="I35" s="1644">
        <f>A3A!I305</f>
        <v>0</v>
      </c>
      <c r="J35" s="1192">
        <f>A3A!J305</f>
        <v>0</v>
      </c>
      <c r="K35" s="1651">
        <f>A3A!K305</f>
        <v>0</v>
      </c>
      <c r="L35" s="1233">
        <f>A3A!L306</f>
        <v>0</v>
      </c>
      <c r="M35" s="207"/>
      <c r="N35" s="207"/>
      <c r="O35" s="207"/>
      <c r="P35" s="207"/>
      <c r="Q35" s="207"/>
      <c r="R35" s="207"/>
      <c r="S35" s="207"/>
      <c r="T35" s="207"/>
      <c r="U35" s="207"/>
      <c r="V35" s="207"/>
      <c r="W35" s="207"/>
      <c r="X35" s="338"/>
    </row>
    <row r="36" spans="1:24" ht="11.25" customHeight="1" x14ac:dyDescent="0.25">
      <c r="A36" s="976" t="str">
        <f>A3A!A316</f>
        <v>Vote 14 - [NAME OF VOTE 14]</v>
      </c>
      <c r="B36" s="955"/>
      <c r="C36" s="1232">
        <f>A3A!C316</f>
        <v>0</v>
      </c>
      <c r="D36" s="1232">
        <f>A3A!D316</f>
        <v>0</v>
      </c>
      <c r="E36" s="1233">
        <f>A3A!E316</f>
        <v>0</v>
      </c>
      <c r="F36" s="1234">
        <f>A3A!F316</f>
        <v>0</v>
      </c>
      <c r="G36" s="1192">
        <f>A3A!G316</f>
        <v>0</v>
      </c>
      <c r="H36" s="1233">
        <f>A3A!H316</f>
        <v>0</v>
      </c>
      <c r="I36" s="1644">
        <f>A3A!I316</f>
        <v>0</v>
      </c>
      <c r="J36" s="1192">
        <f>A3A!J316</f>
        <v>0</v>
      </c>
      <c r="K36" s="1651">
        <f>A3A!K316</f>
        <v>0</v>
      </c>
      <c r="L36" s="1233">
        <f>A3A!L317</f>
        <v>0</v>
      </c>
      <c r="M36" s="207"/>
      <c r="N36" s="207"/>
      <c r="O36" s="207"/>
      <c r="P36" s="207"/>
      <c r="Q36" s="207"/>
      <c r="R36" s="207"/>
      <c r="S36" s="207"/>
      <c r="T36" s="207"/>
      <c r="U36" s="207"/>
      <c r="V36" s="207"/>
      <c r="W36" s="207"/>
      <c r="X36" s="338"/>
    </row>
    <row r="37" spans="1:24" ht="11.25" customHeight="1" x14ac:dyDescent="0.25">
      <c r="A37" s="976" t="str">
        <f>A3A!A327</f>
        <v>Vote 15 - [NAME OF VOTE 15]</v>
      </c>
      <c r="B37" s="955"/>
      <c r="C37" s="1232">
        <f>A3A!C327</f>
        <v>0</v>
      </c>
      <c r="D37" s="1232">
        <f>A3A!D327</f>
        <v>0</v>
      </c>
      <c r="E37" s="1233">
        <f>A3A!E327</f>
        <v>0</v>
      </c>
      <c r="F37" s="1234">
        <f>A3A!F327</f>
        <v>0</v>
      </c>
      <c r="G37" s="1192">
        <f>A3A!G327</f>
        <v>0</v>
      </c>
      <c r="H37" s="1233">
        <f>A3A!H327</f>
        <v>0</v>
      </c>
      <c r="I37" s="1644">
        <f>A3A!I327</f>
        <v>0</v>
      </c>
      <c r="J37" s="1192">
        <f>A3A!J327</f>
        <v>0</v>
      </c>
      <c r="K37" s="1651">
        <f>A3A!K327</f>
        <v>0</v>
      </c>
      <c r="L37" s="1233">
        <f>A3A!L328</f>
        <v>0</v>
      </c>
      <c r="M37" s="207"/>
      <c r="N37" s="207"/>
      <c r="O37" s="207"/>
      <c r="P37" s="207"/>
      <c r="Q37" s="207"/>
      <c r="R37" s="207"/>
      <c r="S37" s="207"/>
      <c r="T37" s="207"/>
      <c r="U37" s="207"/>
      <c r="V37" s="207"/>
      <c r="W37" s="207"/>
      <c r="X37" s="338"/>
    </row>
    <row r="38" spans="1:24" ht="11.25" customHeight="1" x14ac:dyDescent="0.25">
      <c r="A38" s="1096" t="s">
        <v>179</v>
      </c>
      <c r="B38" s="1095">
        <v>2</v>
      </c>
      <c r="C38" s="1102">
        <f>SUM(C23:C37)</f>
        <v>50383475.706582449</v>
      </c>
      <c r="D38" s="1102">
        <f t="shared" ref="D38:K38" si="1">SUM(D23:D37)</f>
        <v>60570905.480193764</v>
      </c>
      <c r="E38" s="1103">
        <f t="shared" si="1"/>
        <v>65924469.405803777</v>
      </c>
      <c r="F38" s="1104">
        <f t="shared" si="1"/>
        <v>71072956.768851161</v>
      </c>
      <c r="G38" s="1102">
        <f t="shared" si="1"/>
        <v>82805144.285714284</v>
      </c>
      <c r="H38" s="1105">
        <f t="shared" si="1"/>
        <v>82805144.285714284</v>
      </c>
      <c r="I38" s="1106">
        <f t="shared" si="1"/>
        <v>86297787.08433111</v>
      </c>
      <c r="J38" s="1102">
        <f t="shared" si="1"/>
        <v>89152618.309390977</v>
      </c>
      <c r="K38" s="1645">
        <f t="shared" si="1"/>
        <v>94618139.407954454</v>
      </c>
      <c r="L38" s="197">
        <f t="shared" ref="L38:W38" si="2">SUM(L23:L29)</f>
        <v>0</v>
      </c>
      <c r="M38" s="198">
        <f t="shared" si="2"/>
        <v>0</v>
      </c>
      <c r="N38" s="198">
        <f t="shared" si="2"/>
        <v>0</v>
      </c>
      <c r="O38" s="198">
        <f t="shared" si="2"/>
        <v>0</v>
      </c>
      <c r="P38" s="198">
        <f t="shared" si="2"/>
        <v>0</v>
      </c>
      <c r="Q38" s="198">
        <f t="shared" si="2"/>
        <v>0</v>
      </c>
      <c r="R38" s="198">
        <f t="shared" si="2"/>
        <v>0</v>
      </c>
      <c r="S38" s="198">
        <f t="shared" si="2"/>
        <v>0</v>
      </c>
      <c r="T38" s="198">
        <f t="shared" si="2"/>
        <v>0</v>
      </c>
      <c r="U38" s="198">
        <f t="shared" si="2"/>
        <v>0</v>
      </c>
      <c r="V38" s="198">
        <f t="shared" si="2"/>
        <v>0</v>
      </c>
      <c r="W38" s="198">
        <f t="shared" si="2"/>
        <v>0</v>
      </c>
      <c r="X38" s="338"/>
    </row>
    <row r="39" spans="1:24" ht="13.5" thickBot="1" x14ac:dyDescent="0.3">
      <c r="A39" s="989" t="str">
        <f>result</f>
        <v>Surplus/(Deficit) for the year</v>
      </c>
      <c r="B39" s="959">
        <v>2</v>
      </c>
      <c r="C39" s="925">
        <f t="shared" ref="C39:W39" si="3">C20-C38</f>
        <v>19286660.254558824</v>
      </c>
      <c r="D39" s="925">
        <f t="shared" si="3"/>
        <v>2280514.7819191813</v>
      </c>
      <c r="E39" s="990">
        <f t="shared" si="3"/>
        <v>-5054308.3579318076</v>
      </c>
      <c r="F39" s="991">
        <f t="shared" si="3"/>
        <v>-16672610.938851163</v>
      </c>
      <c r="G39" s="992">
        <f t="shared" si="3"/>
        <v>-15432553.285714284</v>
      </c>
      <c r="H39" s="993">
        <f t="shared" si="3"/>
        <v>-15432553.285714284</v>
      </c>
      <c r="I39" s="994">
        <f t="shared" si="3"/>
        <v>-3590867.0218468457</v>
      </c>
      <c r="J39" s="992">
        <f t="shared" si="3"/>
        <v>-938183.04315765202</v>
      </c>
      <c r="K39" s="1652">
        <f t="shared" si="3"/>
        <v>-842898.03174713254</v>
      </c>
      <c r="L39" s="229">
        <f t="shared" si="3"/>
        <v>0</v>
      </c>
      <c r="M39" s="230">
        <f t="shared" si="3"/>
        <v>0</v>
      </c>
      <c r="N39" s="230">
        <f t="shared" si="3"/>
        <v>0</v>
      </c>
      <c r="O39" s="230">
        <f t="shared" si="3"/>
        <v>0</v>
      </c>
      <c r="P39" s="230">
        <f t="shared" si="3"/>
        <v>0</v>
      </c>
      <c r="Q39" s="230">
        <f t="shared" si="3"/>
        <v>0</v>
      </c>
      <c r="R39" s="230">
        <f t="shared" si="3"/>
        <v>0</v>
      </c>
      <c r="S39" s="230">
        <f t="shared" si="3"/>
        <v>0</v>
      </c>
      <c r="T39" s="230">
        <f t="shared" si="3"/>
        <v>0</v>
      </c>
      <c r="U39" s="230">
        <f t="shared" si="3"/>
        <v>0</v>
      </c>
      <c r="V39" s="230">
        <f t="shared" si="3"/>
        <v>0</v>
      </c>
      <c r="W39" s="230">
        <f t="shared" si="3"/>
        <v>0</v>
      </c>
      <c r="X39" s="338"/>
    </row>
    <row r="40" spans="1:24" s="625" customFormat="1" ht="11.25" customHeight="1" thickTop="1" x14ac:dyDescent="0.25">
      <c r="A40" s="995" t="str">
        <f>head27a</f>
        <v>References</v>
      </c>
      <c r="B40" s="996"/>
      <c r="C40" s="931"/>
      <c r="D40" s="997"/>
      <c r="E40" s="998"/>
      <c r="F40" s="998"/>
      <c r="G40" s="998"/>
      <c r="H40" s="998"/>
      <c r="I40" s="998"/>
      <c r="J40" s="998"/>
      <c r="K40" s="998"/>
    </row>
    <row r="41" spans="1:24" s="625" customFormat="1" ht="11.25" customHeight="1" x14ac:dyDescent="0.25">
      <c r="A41" s="965" t="s">
        <v>190</v>
      </c>
      <c r="B41" s="996"/>
      <c r="C41" s="999"/>
      <c r="D41" s="999"/>
      <c r="E41" s="1000"/>
      <c r="F41" s="1000"/>
      <c r="G41" s="1000"/>
      <c r="H41" s="1000"/>
      <c r="I41" s="1000"/>
      <c r="J41" s="1000"/>
      <c r="K41" s="1000"/>
    </row>
    <row r="42" spans="1:24" s="625" customFormat="1" ht="11.25" customHeight="1" x14ac:dyDescent="0.25">
      <c r="A42" s="1001" t="s">
        <v>189</v>
      </c>
      <c r="B42" s="996"/>
      <c r="C42" s="999"/>
      <c r="D42" s="999"/>
      <c r="E42" s="1000"/>
      <c r="F42" s="1000"/>
      <c r="G42" s="1000"/>
      <c r="H42" s="1000"/>
      <c r="I42" s="1000"/>
      <c r="J42" s="1000"/>
      <c r="K42" s="1000"/>
    </row>
    <row r="43" spans="1:24" s="625" customFormat="1" ht="11.25" customHeight="1" x14ac:dyDescent="0.25">
      <c r="A43" s="1001" t="s">
        <v>439</v>
      </c>
      <c r="B43" s="961"/>
      <c r="C43" s="1002"/>
      <c r="D43" s="1002"/>
      <c r="E43" s="1003"/>
      <c r="F43" s="1003"/>
      <c r="G43" s="1003"/>
      <c r="H43" s="1003"/>
      <c r="I43" s="1003"/>
      <c r="J43" s="1003"/>
      <c r="K43" s="1003"/>
    </row>
    <row r="44" spans="1:24" ht="11.25" customHeight="1" x14ac:dyDescent="0.25">
      <c r="A44" s="962"/>
      <c r="B44" s="620"/>
      <c r="C44" s="623"/>
      <c r="D44" s="623"/>
      <c r="E44" s="623"/>
      <c r="F44" s="623"/>
      <c r="G44" s="623"/>
      <c r="H44" s="623"/>
      <c r="I44" s="623"/>
      <c r="J44" s="623"/>
      <c r="K44" s="623"/>
    </row>
    <row r="45" spans="1:24" ht="11.25" customHeight="1" x14ac:dyDescent="0.25">
      <c r="A45" s="1002" t="str">
        <f>"check "&amp;A39</f>
        <v>check Surplus/(Deficit) for the year</v>
      </c>
      <c r="B45" s="620"/>
      <c r="C45" s="1003">
        <f>C39-A3A!C340</f>
        <v>0</v>
      </c>
      <c r="D45" s="1003">
        <f>D39-A3A!D340</f>
        <v>0</v>
      </c>
      <c r="E45" s="1003">
        <f>E39-A3A!E340</f>
        <v>0</v>
      </c>
      <c r="F45" s="1003">
        <f>F39-A3A!F340</f>
        <v>0</v>
      </c>
      <c r="G45" s="1003">
        <f>G39-A3A!G340</f>
        <v>0</v>
      </c>
      <c r="H45" s="1003">
        <f>H39-A3A!H340</f>
        <v>0</v>
      </c>
      <c r="I45" s="1003">
        <f>I39-A3A!I340</f>
        <v>0</v>
      </c>
      <c r="J45" s="1003">
        <f>J39-A3A!J340</f>
        <v>0</v>
      </c>
      <c r="K45" s="1003">
        <f>K39-A3A!K340</f>
        <v>0</v>
      </c>
    </row>
    <row r="46" spans="1:24" ht="11.25" customHeight="1" x14ac:dyDescent="0.25">
      <c r="A46" s="239"/>
      <c r="C46" s="240"/>
      <c r="D46" s="240"/>
      <c r="E46" s="240"/>
      <c r="F46" s="240"/>
      <c r="G46" s="240"/>
      <c r="H46" s="240"/>
      <c r="I46" s="240"/>
      <c r="J46" s="240"/>
      <c r="K46" s="240"/>
    </row>
    <row r="47" spans="1:24" ht="11.25" customHeight="1" x14ac:dyDescent="0.25">
      <c r="A47" s="241"/>
    </row>
    <row r="48" spans="1:24" ht="11.25" customHeight="1" x14ac:dyDescent="0.25">
      <c r="A48" s="241"/>
    </row>
    <row r="49" spans="3:11" ht="11.25" customHeight="1" x14ac:dyDescent="0.25">
      <c r="C49" s="330"/>
      <c r="D49" s="330"/>
      <c r="E49" s="330"/>
      <c r="F49" s="330"/>
      <c r="G49" s="330"/>
      <c r="H49" s="330"/>
      <c r="I49" s="330"/>
      <c r="J49" s="330"/>
      <c r="K49" s="330"/>
    </row>
    <row r="50" spans="3:11" ht="11.25" customHeight="1" x14ac:dyDescent="0.25"/>
    <row r="51" spans="3:11" ht="11.25" customHeight="1" x14ac:dyDescent="0.25"/>
    <row r="52" spans="3:11" ht="11.25" customHeight="1" x14ac:dyDescent="0.25"/>
    <row r="53" spans="3:11" ht="11.25" customHeight="1" x14ac:dyDescent="0.25"/>
    <row r="54" spans="3:11" ht="11.25" customHeight="1" x14ac:dyDescent="0.25"/>
    <row r="55" spans="3:11" ht="11.25" customHeight="1" x14ac:dyDescent="0.25"/>
    <row r="56" spans="3:11" ht="11.25" customHeight="1" x14ac:dyDescent="0.25"/>
    <row r="57" spans="3:11" ht="11.25" customHeight="1" x14ac:dyDescent="0.25"/>
    <row r="58" spans="3:11" ht="11.25" customHeight="1" x14ac:dyDescent="0.25"/>
    <row r="59" spans="3:11" ht="11.25" customHeight="1" x14ac:dyDescent="0.25"/>
    <row r="60" spans="3:11" ht="11.25" customHeight="1" x14ac:dyDescent="0.25"/>
    <row r="61" spans="3:11" ht="11.25" customHeight="1" x14ac:dyDescent="0.25"/>
    <row r="62" spans="3:11" ht="11.25" customHeight="1" x14ac:dyDescent="0.25"/>
    <row r="63" spans="3:11" ht="11.25" customHeight="1" x14ac:dyDescent="0.25"/>
    <row r="64" spans="3: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sheetProtection password="C646" sheet="1" objects="1" scenarios="1"/>
  <mergeCells count="3">
    <mergeCell ref="F2:H2"/>
    <mergeCell ref="I2:K2"/>
    <mergeCell ref="L2:W2"/>
  </mergeCells>
  <phoneticPr fontId="4" type="noConversion"/>
  <pageMargins left="0.75" right="0.75" top="1" bottom="1" header="0.5" footer="0.5"/>
  <pageSetup scale="7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4"/>
    <pageSetUpPr fitToPage="1"/>
  </sheetPr>
  <dimension ref="A1:X379"/>
  <sheetViews>
    <sheetView showGridLines="0" showZero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845" customWidth="1"/>
    <col min="3" max="11" width="9.28515625" style="338" customWidth="1"/>
    <col min="12" max="23" width="9.140625" style="338" hidden="1" customWidth="1"/>
    <col min="24" max="24" width="9.140625" style="338"/>
    <col min="25" max="16384" width="9.140625" style="148"/>
  </cols>
  <sheetData>
    <row r="1" spans="1:24" s="178" customFormat="1" x14ac:dyDescent="0.2">
      <c r="A1" s="894" t="s">
        <v>2488</v>
      </c>
      <c r="B1" s="894"/>
      <c r="C1" s="894"/>
      <c r="D1" s="894"/>
      <c r="E1" s="894"/>
      <c r="F1" s="894"/>
      <c r="G1" s="894"/>
      <c r="H1" s="894"/>
      <c r="I1" s="894"/>
      <c r="J1" s="894"/>
      <c r="K1" s="894"/>
      <c r="L1" s="2049"/>
      <c r="M1" s="2049"/>
      <c r="N1" s="2049"/>
      <c r="O1" s="2049"/>
      <c r="P1" s="2049"/>
      <c r="Q1" s="2049"/>
      <c r="R1" s="2049"/>
      <c r="S1" s="2049"/>
      <c r="T1" s="2049"/>
      <c r="U1" s="2049"/>
      <c r="V1" s="2049"/>
      <c r="W1" s="2049"/>
      <c r="X1" s="2049"/>
    </row>
    <row r="2" spans="1:24" ht="28.5" customHeight="1" x14ac:dyDescent="0.25">
      <c r="A2" s="966" t="s">
        <v>809</v>
      </c>
      <c r="B2" s="967" t="s">
        <v>429</v>
      </c>
      <c r="C2" s="896" t="s">
        <v>2478</v>
      </c>
      <c r="D2" s="896" t="s">
        <v>2479</v>
      </c>
      <c r="E2" s="1998" t="s">
        <v>2480</v>
      </c>
      <c r="F2" s="2706" t="s">
        <v>2481</v>
      </c>
      <c r="G2" s="2707"/>
      <c r="H2" s="2707"/>
      <c r="I2" s="2708" t="s">
        <v>2482</v>
      </c>
      <c r="J2" s="2709"/>
      <c r="K2" s="2710"/>
      <c r="L2" s="2714" t="s">
        <v>549</v>
      </c>
      <c r="M2" s="2715"/>
      <c r="N2" s="2715"/>
      <c r="O2" s="2715"/>
      <c r="P2" s="2715"/>
      <c r="Q2" s="2715"/>
      <c r="R2" s="2715"/>
      <c r="S2" s="2715"/>
      <c r="T2" s="2715"/>
      <c r="U2" s="2715"/>
      <c r="V2" s="2715"/>
      <c r="W2" s="2716"/>
    </row>
    <row r="3" spans="1:24" ht="25.5" x14ac:dyDescent="0.25">
      <c r="A3" s="968" t="s">
        <v>667</v>
      </c>
      <c r="B3" s="969"/>
      <c r="C3" s="898" t="s">
        <v>1065</v>
      </c>
      <c r="D3" s="898" t="s">
        <v>1065</v>
      </c>
      <c r="E3" s="899" t="s">
        <v>1065</v>
      </c>
      <c r="F3" s="900" t="s">
        <v>467</v>
      </c>
      <c r="G3" s="898" t="s">
        <v>1807</v>
      </c>
      <c r="H3" s="899" t="s">
        <v>1808</v>
      </c>
      <c r="I3" s="900" t="s">
        <v>2483</v>
      </c>
      <c r="J3" s="898" t="s">
        <v>2484</v>
      </c>
      <c r="K3" s="899" t="s">
        <v>2485</v>
      </c>
      <c r="L3" s="664" t="s">
        <v>920</v>
      </c>
      <c r="M3" s="2002" t="s">
        <v>921</v>
      </c>
      <c r="N3" s="2002" t="s">
        <v>922</v>
      </c>
      <c r="O3" s="2002" t="s">
        <v>1557</v>
      </c>
      <c r="P3" s="2002" t="s">
        <v>1556</v>
      </c>
      <c r="Q3" s="2002" t="s">
        <v>923</v>
      </c>
      <c r="R3" s="2002" t="s">
        <v>1632</v>
      </c>
      <c r="S3" s="2002" t="s">
        <v>1114</v>
      </c>
      <c r="T3" s="2002" t="s">
        <v>1378</v>
      </c>
      <c r="U3" s="2002" t="s">
        <v>2489</v>
      </c>
      <c r="V3" s="2002" t="s">
        <v>2490</v>
      </c>
      <c r="W3" s="2002" t="s">
        <v>2491</v>
      </c>
    </row>
    <row r="4" spans="1:24" ht="11.25" customHeight="1" x14ac:dyDescent="0.25">
      <c r="A4" s="970" t="s">
        <v>1375</v>
      </c>
      <c r="B4" s="955">
        <v>1</v>
      </c>
      <c r="C4" s="2050"/>
      <c r="D4" s="2050"/>
      <c r="E4" s="2051"/>
      <c r="F4" s="2052"/>
      <c r="G4" s="2050"/>
      <c r="H4" s="2053"/>
      <c r="I4" s="2054"/>
      <c r="J4" s="2050"/>
      <c r="K4" s="2051"/>
      <c r="L4" s="2055"/>
      <c r="M4" s="2056"/>
      <c r="N4" s="2056"/>
      <c r="O4" s="2056"/>
      <c r="P4" s="2056"/>
      <c r="Q4" s="2056"/>
      <c r="R4" s="2056"/>
      <c r="S4" s="2056"/>
      <c r="T4" s="2056"/>
      <c r="U4" s="2056"/>
      <c r="V4" s="2056"/>
      <c r="W4" s="2056"/>
    </row>
    <row r="5" spans="1:24" ht="15" customHeight="1" x14ac:dyDescent="0.25">
      <c r="A5" s="941" t="s">
        <v>2374</v>
      </c>
      <c r="B5" s="846"/>
      <c r="C5" s="755">
        <v>32679776.437341277</v>
      </c>
      <c r="D5" s="755">
        <v>19607723.618112948</v>
      </c>
      <c r="E5" s="758">
        <v>20370443.278171964</v>
      </c>
      <c r="F5" s="757">
        <v>40925898.829999998</v>
      </c>
      <c r="G5" s="755">
        <v>24400188</v>
      </c>
      <c r="H5" s="756">
        <v>24400188</v>
      </c>
      <c r="I5" s="1930">
        <v>27552461.085644267</v>
      </c>
      <c r="J5" s="755">
        <v>29601068.750782922</v>
      </c>
      <c r="K5" s="758">
        <v>31523432.875829905</v>
      </c>
      <c r="L5" s="2055"/>
      <c r="M5" s="2056"/>
      <c r="N5" s="2056"/>
      <c r="O5" s="2056"/>
      <c r="P5" s="2056"/>
      <c r="Q5" s="2056"/>
      <c r="R5" s="2056"/>
      <c r="S5" s="2056"/>
      <c r="T5" s="2056"/>
      <c r="U5" s="2056"/>
      <c r="V5" s="2056"/>
      <c r="W5" s="2056"/>
    </row>
    <row r="6" spans="1:24" ht="11.25" customHeight="1" x14ac:dyDescent="0.25">
      <c r="A6" s="942" t="s">
        <v>2316</v>
      </c>
      <c r="B6" s="843"/>
      <c r="C6" s="2057">
        <v>16760640.469999999</v>
      </c>
      <c r="D6" s="2057">
        <v>61666.709999999992</v>
      </c>
      <c r="E6" s="2058">
        <v>0</v>
      </c>
      <c r="F6" s="2059">
        <v>0</v>
      </c>
      <c r="G6" s="2057">
        <v>0</v>
      </c>
      <c r="H6" s="2060">
        <v>0</v>
      </c>
      <c r="I6" s="2061">
        <v>0</v>
      </c>
      <c r="J6" s="2057">
        <v>0</v>
      </c>
      <c r="K6" s="2058">
        <v>0</v>
      </c>
      <c r="L6" s="2055"/>
      <c r="M6" s="2056"/>
      <c r="N6" s="2056"/>
      <c r="O6" s="2056"/>
      <c r="P6" s="2056"/>
      <c r="Q6" s="2056"/>
      <c r="R6" s="2056"/>
      <c r="S6" s="2056"/>
      <c r="T6" s="2056"/>
      <c r="U6" s="2056"/>
      <c r="V6" s="2056"/>
      <c r="W6" s="2056"/>
    </row>
    <row r="7" spans="1:24" ht="11.25" customHeight="1" x14ac:dyDescent="0.25">
      <c r="A7" s="942" t="s">
        <v>2317</v>
      </c>
      <c r="B7" s="843"/>
      <c r="C7" s="2057">
        <v>12990334.027341276</v>
      </c>
      <c r="D7" s="2057">
        <v>15368070.038112946</v>
      </c>
      <c r="E7" s="2058">
        <v>17740732.256999999</v>
      </c>
      <c r="F7" s="2059">
        <v>18940330</v>
      </c>
      <c r="G7" s="2057">
        <v>20058650</v>
      </c>
      <c r="H7" s="2060">
        <v>20058650</v>
      </c>
      <c r="I7" s="2061">
        <v>21320354.845714286</v>
      </c>
      <c r="J7" s="2057">
        <v>22995036.136457141</v>
      </c>
      <c r="K7" s="2058">
        <v>24521038.304644573</v>
      </c>
      <c r="L7" s="2055"/>
      <c r="M7" s="2056"/>
      <c r="N7" s="2056"/>
      <c r="O7" s="2056"/>
      <c r="P7" s="2056"/>
      <c r="Q7" s="2056"/>
      <c r="R7" s="2056"/>
      <c r="S7" s="2056"/>
      <c r="T7" s="2056"/>
      <c r="U7" s="2056"/>
      <c r="V7" s="2056"/>
      <c r="W7" s="2056"/>
    </row>
    <row r="8" spans="1:24" ht="11.25" customHeight="1" x14ac:dyDescent="0.25">
      <c r="A8" s="942" t="s">
        <v>2318</v>
      </c>
      <c r="B8" s="843"/>
      <c r="C8" s="2057">
        <v>38850</v>
      </c>
      <c r="D8" s="2057">
        <v>35601.86</v>
      </c>
      <c r="E8" s="2058">
        <v>21800</v>
      </c>
      <c r="F8" s="2059">
        <v>36000</v>
      </c>
      <c r="G8" s="2057">
        <v>36000</v>
      </c>
      <c r="H8" s="2060">
        <v>36000</v>
      </c>
      <c r="I8" s="2061">
        <v>36000</v>
      </c>
      <c r="J8" s="2057">
        <v>38160</v>
      </c>
      <c r="K8" s="2058">
        <v>40449.599999999999</v>
      </c>
      <c r="L8" s="2055"/>
      <c r="M8" s="2056"/>
      <c r="N8" s="2056"/>
      <c r="O8" s="2056"/>
      <c r="P8" s="2056"/>
      <c r="Q8" s="2056"/>
      <c r="R8" s="2056"/>
      <c r="S8" s="2056"/>
      <c r="T8" s="2056"/>
      <c r="U8" s="2056"/>
      <c r="V8" s="2056"/>
      <c r="W8" s="2056"/>
    </row>
    <row r="9" spans="1:24" ht="11.25" customHeight="1" x14ac:dyDescent="0.25">
      <c r="A9" s="942" t="s">
        <v>2319</v>
      </c>
      <c r="B9" s="843"/>
      <c r="C9" s="2057">
        <v>2889951.94</v>
      </c>
      <c r="D9" s="2057">
        <v>4142385.0100000002</v>
      </c>
      <c r="E9" s="2058">
        <v>2607911.0211719652</v>
      </c>
      <c r="F9" s="2059">
        <v>5075538.83</v>
      </c>
      <c r="G9" s="2057">
        <v>4305538</v>
      </c>
      <c r="H9" s="2060">
        <v>4305538</v>
      </c>
      <c r="I9" s="2061">
        <v>6196106.2399299834</v>
      </c>
      <c r="J9" s="2057">
        <v>6567872.6143257823</v>
      </c>
      <c r="K9" s="2058">
        <v>6961944.9711853284</v>
      </c>
      <c r="L9" s="2055"/>
      <c r="M9" s="2056"/>
      <c r="N9" s="2056"/>
      <c r="O9" s="2056"/>
      <c r="P9" s="2056"/>
      <c r="Q9" s="2056"/>
      <c r="R9" s="2056"/>
      <c r="S9" s="2056"/>
      <c r="T9" s="2056"/>
      <c r="U9" s="2056"/>
      <c r="V9" s="2056"/>
      <c r="W9" s="2056"/>
    </row>
    <row r="10" spans="1:24" ht="11.25" customHeight="1" x14ac:dyDescent="0.25">
      <c r="A10" s="942" t="s">
        <v>2298</v>
      </c>
      <c r="B10" s="843"/>
      <c r="C10" s="2057">
        <v>0</v>
      </c>
      <c r="D10" s="2057">
        <v>0</v>
      </c>
      <c r="E10" s="2058">
        <v>0</v>
      </c>
      <c r="F10" s="2059">
        <v>16524800</v>
      </c>
      <c r="G10" s="2057">
        <v>0</v>
      </c>
      <c r="H10" s="2060">
        <v>0</v>
      </c>
      <c r="I10" s="2061">
        <v>0</v>
      </c>
      <c r="J10" s="2057">
        <v>0</v>
      </c>
      <c r="K10" s="2058">
        <v>0</v>
      </c>
      <c r="L10" s="2055"/>
      <c r="M10" s="2056"/>
      <c r="N10" s="2056"/>
      <c r="O10" s="2056"/>
      <c r="P10" s="2056"/>
      <c r="Q10" s="2056"/>
      <c r="R10" s="2056"/>
      <c r="S10" s="2056"/>
      <c r="T10" s="2056"/>
      <c r="U10" s="2056"/>
      <c r="V10" s="2056"/>
      <c r="W10" s="2056"/>
    </row>
    <row r="11" spans="1:24" ht="11.25" customHeight="1" x14ac:dyDescent="0.25">
      <c r="A11" s="942" t="s">
        <v>2302</v>
      </c>
      <c r="B11" s="843"/>
      <c r="C11" s="2057">
        <v>0</v>
      </c>
      <c r="D11" s="2057">
        <v>0</v>
      </c>
      <c r="E11" s="2058">
        <v>0</v>
      </c>
      <c r="F11" s="2059">
        <v>303130</v>
      </c>
      <c r="G11" s="2057">
        <v>0</v>
      </c>
      <c r="H11" s="2060">
        <v>0</v>
      </c>
      <c r="I11" s="2061">
        <v>0</v>
      </c>
      <c r="J11" s="2057">
        <v>0</v>
      </c>
      <c r="K11" s="2058">
        <v>0</v>
      </c>
      <c r="L11" s="2055"/>
      <c r="M11" s="2056"/>
      <c r="N11" s="2056"/>
      <c r="O11" s="2056"/>
      <c r="P11" s="2056"/>
      <c r="Q11" s="2056"/>
      <c r="R11" s="2056"/>
      <c r="S11" s="2056"/>
      <c r="T11" s="2056"/>
      <c r="U11" s="2056"/>
      <c r="V11" s="2056"/>
      <c r="W11" s="2056"/>
    </row>
    <row r="12" spans="1:24" ht="11.25" customHeight="1" x14ac:dyDescent="0.25">
      <c r="A12" s="942" t="s">
        <v>2297</v>
      </c>
      <c r="B12" s="843"/>
      <c r="C12" s="2057">
        <v>0</v>
      </c>
      <c r="D12" s="2057">
        <v>0</v>
      </c>
      <c r="E12" s="2058">
        <v>0</v>
      </c>
      <c r="F12" s="2059">
        <v>46100</v>
      </c>
      <c r="G12" s="2057">
        <v>0</v>
      </c>
      <c r="H12" s="2060">
        <v>0</v>
      </c>
      <c r="I12" s="2061">
        <v>0</v>
      </c>
      <c r="J12" s="2057">
        <v>0</v>
      </c>
      <c r="K12" s="2058">
        <v>0</v>
      </c>
      <c r="L12" s="2055"/>
      <c r="M12" s="2056"/>
      <c r="N12" s="2056"/>
      <c r="O12" s="2056"/>
      <c r="P12" s="2056"/>
      <c r="Q12" s="2056"/>
      <c r="R12" s="2056"/>
      <c r="S12" s="2056"/>
      <c r="T12" s="2056"/>
      <c r="U12" s="2056"/>
      <c r="V12" s="2056"/>
      <c r="W12" s="2056"/>
    </row>
    <row r="13" spans="1:24" ht="11.25" customHeight="1" x14ac:dyDescent="0.25">
      <c r="A13" s="942">
        <v>0</v>
      </c>
      <c r="B13" s="843"/>
      <c r="C13" s="2057"/>
      <c r="D13" s="2057"/>
      <c r="E13" s="2058"/>
      <c r="F13" s="2059"/>
      <c r="G13" s="2057"/>
      <c r="H13" s="2060"/>
      <c r="I13" s="2061"/>
      <c r="J13" s="2057"/>
      <c r="K13" s="2058"/>
      <c r="L13" s="2055"/>
      <c r="M13" s="2056"/>
      <c r="N13" s="2056"/>
      <c r="O13" s="2056"/>
      <c r="P13" s="2056"/>
      <c r="Q13" s="2056"/>
      <c r="R13" s="2056"/>
      <c r="S13" s="2056"/>
      <c r="T13" s="2056"/>
      <c r="U13" s="2056"/>
      <c r="V13" s="2056"/>
      <c r="W13" s="2056"/>
    </row>
    <row r="14" spans="1:24" ht="11.25" customHeight="1" x14ac:dyDescent="0.25">
      <c r="A14" s="942">
        <v>0</v>
      </c>
      <c r="B14" s="843"/>
      <c r="C14" s="2057"/>
      <c r="D14" s="2057"/>
      <c r="E14" s="2058"/>
      <c r="F14" s="2059"/>
      <c r="G14" s="2057"/>
      <c r="H14" s="2060"/>
      <c r="I14" s="2061"/>
      <c r="J14" s="2057"/>
      <c r="K14" s="2058"/>
      <c r="L14" s="2055"/>
      <c r="M14" s="2056"/>
      <c r="N14" s="2056"/>
      <c r="O14" s="2056"/>
      <c r="P14" s="2056"/>
      <c r="Q14" s="2056"/>
      <c r="R14" s="2056"/>
      <c r="S14" s="2056"/>
      <c r="T14" s="2056"/>
      <c r="U14" s="2056"/>
      <c r="V14" s="2056"/>
      <c r="W14" s="2056"/>
    </row>
    <row r="15" spans="1:24" ht="11.25" customHeight="1" x14ac:dyDescent="0.25">
      <c r="A15" s="942">
        <v>0</v>
      </c>
      <c r="B15" s="843"/>
      <c r="C15" s="2057"/>
      <c r="D15" s="2057"/>
      <c r="E15" s="2058"/>
      <c r="F15" s="2059"/>
      <c r="G15" s="2057"/>
      <c r="H15" s="2060"/>
      <c r="I15" s="2061"/>
      <c r="J15" s="2057"/>
      <c r="K15" s="2058"/>
      <c r="L15" s="2055"/>
      <c r="M15" s="2056"/>
      <c r="N15" s="2056"/>
      <c r="O15" s="2056"/>
      <c r="P15" s="2056"/>
      <c r="Q15" s="2056"/>
      <c r="R15" s="2056"/>
      <c r="S15" s="2056"/>
      <c r="T15" s="2056"/>
      <c r="U15" s="2056"/>
      <c r="V15" s="2056"/>
      <c r="W15" s="2056"/>
    </row>
    <row r="16" spans="1:24" ht="15" customHeight="1" x14ac:dyDescent="0.25">
      <c r="A16" s="941" t="s">
        <v>2375</v>
      </c>
      <c r="B16" s="846"/>
      <c r="C16" s="755">
        <v>15578511.1538</v>
      </c>
      <c r="D16" s="755">
        <v>16604239.019999998</v>
      </c>
      <c r="E16" s="758">
        <v>20181732.539700001</v>
      </c>
      <c r="F16" s="757">
        <v>715000</v>
      </c>
      <c r="G16" s="755">
        <v>17625500</v>
      </c>
      <c r="H16" s="756">
        <v>17625500</v>
      </c>
      <c r="I16" s="1930">
        <v>20664100</v>
      </c>
      <c r="J16" s="755">
        <v>21903946</v>
      </c>
      <c r="K16" s="758">
        <v>23218182.759999998</v>
      </c>
      <c r="L16" s="2055"/>
      <c r="M16" s="2056"/>
      <c r="N16" s="2056"/>
      <c r="O16" s="2056"/>
      <c r="P16" s="2056"/>
      <c r="Q16" s="2056"/>
      <c r="R16" s="2056"/>
      <c r="S16" s="2056"/>
      <c r="T16" s="2056"/>
      <c r="U16" s="2056"/>
      <c r="V16" s="2056"/>
      <c r="W16" s="2056"/>
    </row>
    <row r="17" spans="1:23" ht="11.25" customHeight="1" x14ac:dyDescent="0.25">
      <c r="A17" s="942" t="s">
        <v>2320</v>
      </c>
      <c r="B17" s="843"/>
      <c r="C17" s="2057">
        <v>8800</v>
      </c>
      <c r="D17" s="2057">
        <v>0</v>
      </c>
      <c r="E17" s="2058">
        <v>0</v>
      </c>
      <c r="F17" s="2059">
        <v>128000</v>
      </c>
      <c r="G17" s="2057">
        <v>128000</v>
      </c>
      <c r="H17" s="2060">
        <v>128000</v>
      </c>
      <c r="I17" s="2061">
        <v>130000</v>
      </c>
      <c r="J17" s="2057">
        <v>137800</v>
      </c>
      <c r="K17" s="2058">
        <v>146068</v>
      </c>
      <c r="L17" s="2055"/>
      <c r="M17" s="2056"/>
      <c r="N17" s="2056"/>
      <c r="O17" s="2056"/>
      <c r="P17" s="2056"/>
      <c r="Q17" s="2056"/>
      <c r="R17" s="2056"/>
      <c r="S17" s="2056"/>
      <c r="T17" s="2056"/>
      <c r="U17" s="2056"/>
      <c r="V17" s="2056"/>
      <c r="W17" s="2056"/>
    </row>
    <row r="18" spans="1:23" ht="11.25" customHeight="1" x14ac:dyDescent="0.25">
      <c r="A18" s="942" t="s">
        <v>2321</v>
      </c>
      <c r="B18" s="843"/>
      <c r="C18" s="2057">
        <v>24103.16</v>
      </c>
      <c r="D18" s="2057">
        <v>25790.38</v>
      </c>
      <c r="E18" s="2058">
        <v>27477.599999999999</v>
      </c>
      <c r="F18" s="2059">
        <v>34000</v>
      </c>
      <c r="G18" s="2057">
        <v>34000</v>
      </c>
      <c r="H18" s="2060">
        <v>34000</v>
      </c>
      <c r="I18" s="2061">
        <v>200000</v>
      </c>
      <c r="J18" s="2057">
        <v>212000</v>
      </c>
      <c r="K18" s="2058">
        <v>224720</v>
      </c>
      <c r="L18" s="2055"/>
      <c r="M18" s="2056"/>
      <c r="N18" s="2056"/>
      <c r="O18" s="2056"/>
      <c r="P18" s="2056"/>
      <c r="Q18" s="2056"/>
      <c r="R18" s="2056"/>
      <c r="S18" s="2056"/>
      <c r="T18" s="2056"/>
      <c r="U18" s="2056"/>
      <c r="V18" s="2056"/>
      <c r="W18" s="2056"/>
    </row>
    <row r="19" spans="1:23" ht="11.25" customHeight="1" x14ac:dyDescent="0.25">
      <c r="A19" s="942" t="s">
        <v>2322</v>
      </c>
      <c r="B19" s="843"/>
      <c r="C19" s="2057">
        <v>438212.1838</v>
      </c>
      <c r="D19" s="2057">
        <v>949551.84000000008</v>
      </c>
      <c r="E19" s="2058">
        <v>370583.11</v>
      </c>
      <c r="F19" s="2059">
        <v>543000</v>
      </c>
      <c r="G19" s="2057">
        <v>728000</v>
      </c>
      <c r="H19" s="2060">
        <v>728000</v>
      </c>
      <c r="I19" s="2061">
        <v>752500</v>
      </c>
      <c r="J19" s="2057">
        <v>797650</v>
      </c>
      <c r="K19" s="2058">
        <v>845509</v>
      </c>
      <c r="L19" s="2055"/>
      <c r="M19" s="2056"/>
      <c r="N19" s="2056"/>
      <c r="O19" s="2056"/>
      <c r="P19" s="2056"/>
      <c r="Q19" s="2056"/>
      <c r="R19" s="2056"/>
      <c r="S19" s="2056"/>
      <c r="T19" s="2056"/>
      <c r="U19" s="2056"/>
      <c r="V19" s="2056"/>
      <c r="W19" s="2056"/>
    </row>
    <row r="20" spans="1:23" ht="11.25" customHeight="1" x14ac:dyDescent="0.25">
      <c r="A20" s="942" t="s">
        <v>2323</v>
      </c>
      <c r="B20" s="843"/>
      <c r="C20" s="2057">
        <v>10428256.5</v>
      </c>
      <c r="D20" s="2057">
        <v>177858.38</v>
      </c>
      <c r="E20" s="2058">
        <v>47745.180000000008</v>
      </c>
      <c r="F20" s="2059">
        <v>0</v>
      </c>
      <c r="G20" s="2057">
        <v>51200</v>
      </c>
      <c r="H20" s="2060">
        <v>51200</v>
      </c>
      <c r="I20" s="2061">
        <v>40600</v>
      </c>
      <c r="J20" s="2057">
        <v>43036</v>
      </c>
      <c r="K20" s="2058">
        <v>45618.16</v>
      </c>
      <c r="L20" s="2055"/>
      <c r="M20" s="2056"/>
      <c r="N20" s="2056"/>
      <c r="O20" s="2056"/>
      <c r="P20" s="2056"/>
      <c r="Q20" s="2056"/>
      <c r="R20" s="2056"/>
      <c r="S20" s="2056"/>
      <c r="T20" s="2056"/>
      <c r="U20" s="2056"/>
      <c r="V20" s="2056"/>
      <c r="W20" s="2056"/>
    </row>
    <row r="21" spans="1:23" ht="11.25" customHeight="1" x14ac:dyDescent="0.25">
      <c r="A21" s="942" t="s">
        <v>2324</v>
      </c>
      <c r="B21" s="843"/>
      <c r="C21" s="2057">
        <v>4675344.3099999996</v>
      </c>
      <c r="D21" s="2057">
        <v>15448198.419999998</v>
      </c>
      <c r="E21" s="2058">
        <v>19724975.649700001</v>
      </c>
      <c r="F21" s="2059">
        <v>0</v>
      </c>
      <c r="G21" s="2057">
        <v>16669300</v>
      </c>
      <c r="H21" s="2060">
        <v>16669300</v>
      </c>
      <c r="I21" s="2061">
        <v>19526000</v>
      </c>
      <c r="J21" s="2057">
        <v>20697560</v>
      </c>
      <c r="K21" s="2058">
        <v>21939413.599999998</v>
      </c>
      <c r="L21" s="2055"/>
      <c r="M21" s="2056"/>
      <c r="N21" s="2056"/>
      <c r="O21" s="2056"/>
      <c r="P21" s="2056"/>
      <c r="Q21" s="2056"/>
      <c r="R21" s="2056"/>
      <c r="S21" s="2056"/>
      <c r="T21" s="2056"/>
      <c r="U21" s="2056"/>
      <c r="V21" s="2056"/>
      <c r="W21" s="2056"/>
    </row>
    <row r="22" spans="1:23" ht="11.25" customHeight="1" x14ac:dyDescent="0.25">
      <c r="A22" s="942" t="s">
        <v>2325</v>
      </c>
      <c r="B22" s="843"/>
      <c r="C22" s="2057">
        <v>3795</v>
      </c>
      <c r="D22" s="2057">
        <v>2840</v>
      </c>
      <c r="E22" s="2058">
        <v>10951</v>
      </c>
      <c r="F22" s="2059">
        <v>10000</v>
      </c>
      <c r="G22" s="2057">
        <v>15000</v>
      </c>
      <c r="H22" s="2060">
        <v>15000</v>
      </c>
      <c r="I22" s="2061">
        <v>15000</v>
      </c>
      <c r="J22" s="2057">
        <v>15900</v>
      </c>
      <c r="K22" s="2058">
        <v>16854</v>
      </c>
      <c r="L22" s="2055"/>
      <c r="M22" s="2056"/>
      <c r="N22" s="2056"/>
      <c r="O22" s="2056"/>
      <c r="P22" s="2056"/>
      <c r="Q22" s="2056"/>
      <c r="R22" s="2056"/>
      <c r="S22" s="2056"/>
      <c r="T22" s="2056"/>
      <c r="U22" s="2056"/>
      <c r="V22" s="2056"/>
      <c r="W22" s="2056"/>
    </row>
    <row r="23" spans="1:23" ht="11.25" hidden="1" customHeight="1" x14ac:dyDescent="0.25">
      <c r="A23" s="942">
        <v>0</v>
      </c>
      <c r="B23" s="843"/>
      <c r="C23" s="2057"/>
      <c r="D23" s="2057"/>
      <c r="E23" s="2058"/>
      <c r="F23" s="2059"/>
      <c r="G23" s="2057"/>
      <c r="H23" s="2060"/>
      <c r="I23" s="2061"/>
      <c r="J23" s="2057"/>
      <c r="K23" s="2058"/>
      <c r="L23" s="2055"/>
      <c r="M23" s="2056"/>
      <c r="N23" s="2056"/>
      <c r="O23" s="2056"/>
      <c r="P23" s="2056"/>
      <c r="Q23" s="2056"/>
      <c r="R23" s="2056"/>
      <c r="S23" s="2056"/>
      <c r="T23" s="2056"/>
      <c r="U23" s="2056"/>
      <c r="V23" s="2056"/>
      <c r="W23" s="2056"/>
    </row>
    <row r="24" spans="1:23" ht="11.25" hidden="1" customHeight="1" x14ac:dyDescent="0.25">
      <c r="A24" s="942">
        <v>0</v>
      </c>
      <c r="B24" s="843"/>
      <c r="C24" s="2057"/>
      <c r="D24" s="2057"/>
      <c r="E24" s="2058"/>
      <c r="F24" s="2059"/>
      <c r="G24" s="2057"/>
      <c r="H24" s="2060"/>
      <c r="I24" s="2061"/>
      <c r="J24" s="2057"/>
      <c r="K24" s="2058"/>
      <c r="L24" s="2055"/>
      <c r="M24" s="2056"/>
      <c r="N24" s="2056"/>
      <c r="O24" s="2056"/>
      <c r="P24" s="2056"/>
      <c r="Q24" s="2056"/>
      <c r="R24" s="2056"/>
      <c r="S24" s="2056"/>
      <c r="T24" s="2056"/>
      <c r="U24" s="2056"/>
      <c r="V24" s="2056"/>
      <c r="W24" s="2056"/>
    </row>
    <row r="25" spans="1:23" ht="11.25" hidden="1" customHeight="1" x14ac:dyDescent="0.25">
      <c r="A25" s="942">
        <v>0</v>
      </c>
      <c r="B25" s="843"/>
      <c r="C25" s="2057"/>
      <c r="D25" s="2057"/>
      <c r="E25" s="2058"/>
      <c r="F25" s="2059"/>
      <c r="G25" s="2057"/>
      <c r="H25" s="2060"/>
      <c r="I25" s="2061"/>
      <c r="J25" s="2057"/>
      <c r="K25" s="2058"/>
      <c r="L25" s="2055"/>
      <c r="M25" s="2056"/>
      <c r="N25" s="2056"/>
      <c r="O25" s="2056"/>
      <c r="P25" s="2056"/>
      <c r="Q25" s="2056"/>
      <c r="R25" s="2056"/>
      <c r="S25" s="2056"/>
      <c r="T25" s="2056"/>
      <c r="U25" s="2056"/>
      <c r="V25" s="2056"/>
      <c r="W25" s="2056"/>
    </row>
    <row r="26" spans="1:23" ht="11.25" hidden="1" customHeight="1" x14ac:dyDescent="0.25">
      <c r="A26" s="942">
        <v>0</v>
      </c>
      <c r="B26" s="843"/>
      <c r="C26" s="2057"/>
      <c r="D26" s="2057"/>
      <c r="E26" s="2058"/>
      <c r="F26" s="2059"/>
      <c r="G26" s="2057"/>
      <c r="H26" s="2060"/>
      <c r="I26" s="2061"/>
      <c r="J26" s="2057"/>
      <c r="K26" s="2058"/>
      <c r="L26" s="2055"/>
      <c r="M26" s="2056"/>
      <c r="N26" s="2056"/>
      <c r="O26" s="2056"/>
      <c r="P26" s="2056"/>
      <c r="Q26" s="2056"/>
      <c r="R26" s="2056"/>
      <c r="S26" s="2056"/>
      <c r="T26" s="2056"/>
      <c r="U26" s="2056"/>
      <c r="V26" s="2056"/>
      <c r="W26" s="2056"/>
    </row>
    <row r="27" spans="1:23" ht="15" customHeight="1" x14ac:dyDescent="0.25">
      <c r="A27" s="941" t="s">
        <v>2376</v>
      </c>
      <c r="B27" s="846"/>
      <c r="C27" s="755">
        <v>9193265.0700000003</v>
      </c>
      <c r="D27" s="755">
        <v>7805458.0899999989</v>
      </c>
      <c r="E27" s="758">
        <v>8018973.6399999997</v>
      </c>
      <c r="F27" s="757">
        <v>5315061</v>
      </c>
      <c r="G27" s="755">
        <v>6924255</v>
      </c>
      <c r="H27" s="756">
        <v>6924255</v>
      </c>
      <c r="I27" s="1930">
        <v>10206003.952679999</v>
      </c>
      <c r="J27" s="755">
        <v>10818364.189840801</v>
      </c>
      <c r="K27" s="758">
        <v>11467466.037231252</v>
      </c>
      <c r="L27" s="2055"/>
      <c r="M27" s="2056"/>
      <c r="N27" s="2056"/>
      <c r="O27" s="2056"/>
      <c r="P27" s="2056"/>
      <c r="Q27" s="2056"/>
      <c r="R27" s="2056"/>
      <c r="S27" s="2056"/>
      <c r="T27" s="2056"/>
      <c r="U27" s="2056"/>
      <c r="V27" s="2056"/>
      <c r="W27" s="2056"/>
    </row>
    <row r="28" spans="1:23" ht="11.25" customHeight="1" x14ac:dyDescent="0.25">
      <c r="A28" s="942" t="s">
        <v>2326</v>
      </c>
      <c r="B28" s="843"/>
      <c r="C28" s="2057">
        <v>9193265.0700000003</v>
      </c>
      <c r="D28" s="2057">
        <v>7805458.0899999989</v>
      </c>
      <c r="E28" s="2058">
        <v>8018973.6399999997</v>
      </c>
      <c r="F28" s="2059">
        <v>5315061</v>
      </c>
      <c r="G28" s="2057">
        <v>6924255</v>
      </c>
      <c r="H28" s="2060">
        <v>6924255</v>
      </c>
      <c r="I28" s="2061">
        <v>10206003.952679999</v>
      </c>
      <c r="J28" s="2057">
        <v>10818364.189840801</v>
      </c>
      <c r="K28" s="2058">
        <v>11467466.037231252</v>
      </c>
      <c r="L28" s="2055"/>
      <c r="M28" s="2056"/>
      <c r="N28" s="2056"/>
      <c r="O28" s="2056"/>
      <c r="P28" s="2056"/>
      <c r="Q28" s="2056"/>
      <c r="R28" s="2056"/>
      <c r="S28" s="2056"/>
      <c r="T28" s="2056"/>
      <c r="U28" s="2056"/>
      <c r="V28" s="2056"/>
      <c r="W28" s="2056"/>
    </row>
    <row r="29" spans="1:23" ht="11.25" hidden="1" customHeight="1" x14ac:dyDescent="0.25">
      <c r="A29" s="942">
        <v>0</v>
      </c>
      <c r="B29" s="843"/>
      <c r="C29" s="2057"/>
      <c r="D29" s="2057"/>
      <c r="E29" s="2058"/>
      <c r="F29" s="2059"/>
      <c r="G29" s="2057"/>
      <c r="H29" s="2060"/>
      <c r="I29" s="2061"/>
      <c r="J29" s="2057"/>
      <c r="K29" s="2058"/>
      <c r="L29" s="2055"/>
      <c r="M29" s="2056"/>
      <c r="N29" s="2056"/>
      <c r="O29" s="2056"/>
      <c r="P29" s="2056"/>
      <c r="Q29" s="2056"/>
      <c r="R29" s="2056"/>
      <c r="S29" s="2056"/>
      <c r="T29" s="2056"/>
      <c r="U29" s="2056"/>
      <c r="V29" s="2056"/>
      <c r="W29" s="2056"/>
    </row>
    <row r="30" spans="1:23" ht="11.25" hidden="1" customHeight="1" x14ac:dyDescent="0.25">
      <c r="A30" s="942">
        <v>0</v>
      </c>
      <c r="B30" s="843"/>
      <c r="C30" s="2057"/>
      <c r="D30" s="2057"/>
      <c r="E30" s="2058"/>
      <c r="F30" s="2059"/>
      <c r="G30" s="2057"/>
      <c r="H30" s="2060"/>
      <c r="I30" s="2061"/>
      <c r="J30" s="2057"/>
      <c r="K30" s="2058"/>
      <c r="L30" s="2055"/>
      <c r="M30" s="2056"/>
      <c r="N30" s="2056"/>
      <c r="O30" s="2056"/>
      <c r="P30" s="2056"/>
      <c r="Q30" s="2056"/>
      <c r="R30" s="2056"/>
      <c r="S30" s="2056"/>
      <c r="T30" s="2056"/>
      <c r="U30" s="2056"/>
      <c r="V30" s="2056"/>
      <c r="W30" s="2056"/>
    </row>
    <row r="31" spans="1:23" ht="11.25" hidden="1" customHeight="1" x14ac:dyDescent="0.25">
      <c r="A31" s="942">
        <v>0</v>
      </c>
      <c r="B31" s="843"/>
      <c r="C31" s="2057"/>
      <c r="D31" s="2057"/>
      <c r="E31" s="2058"/>
      <c r="F31" s="2059"/>
      <c r="G31" s="2057"/>
      <c r="H31" s="2060"/>
      <c r="I31" s="2061"/>
      <c r="J31" s="2057"/>
      <c r="K31" s="2058"/>
      <c r="L31" s="2055"/>
      <c r="M31" s="2056"/>
      <c r="N31" s="2056"/>
      <c r="O31" s="2056"/>
      <c r="P31" s="2056"/>
      <c r="Q31" s="2056"/>
      <c r="R31" s="2056"/>
      <c r="S31" s="2056"/>
      <c r="T31" s="2056"/>
      <c r="U31" s="2056"/>
      <c r="V31" s="2056"/>
      <c r="W31" s="2056"/>
    </row>
    <row r="32" spans="1:23" ht="11.25" hidden="1" customHeight="1" x14ac:dyDescent="0.25">
      <c r="A32" s="942">
        <v>0</v>
      </c>
      <c r="B32" s="843"/>
      <c r="C32" s="2057"/>
      <c r="D32" s="2057"/>
      <c r="E32" s="2058"/>
      <c r="F32" s="2059"/>
      <c r="G32" s="2057"/>
      <c r="H32" s="2060"/>
      <c r="I32" s="2061"/>
      <c r="J32" s="2057"/>
      <c r="K32" s="2058"/>
      <c r="L32" s="2055"/>
      <c r="M32" s="2056"/>
      <c r="N32" s="2056"/>
      <c r="O32" s="2056"/>
      <c r="P32" s="2056"/>
      <c r="Q32" s="2056"/>
      <c r="R32" s="2056"/>
      <c r="S32" s="2056"/>
      <c r="T32" s="2056"/>
      <c r="U32" s="2056"/>
      <c r="V32" s="2056"/>
      <c r="W32" s="2056"/>
    </row>
    <row r="33" spans="1:23" ht="11.25" hidden="1" customHeight="1" x14ac:dyDescent="0.25">
      <c r="A33" s="942">
        <v>0</v>
      </c>
      <c r="B33" s="843"/>
      <c r="C33" s="2057"/>
      <c r="D33" s="2057"/>
      <c r="E33" s="2058"/>
      <c r="F33" s="2059"/>
      <c r="G33" s="2057"/>
      <c r="H33" s="2060"/>
      <c r="I33" s="2061"/>
      <c r="J33" s="2057"/>
      <c r="K33" s="2058"/>
      <c r="L33" s="2055"/>
      <c r="M33" s="2056"/>
      <c r="N33" s="2056"/>
      <c r="O33" s="2056"/>
      <c r="P33" s="2056"/>
      <c r="Q33" s="2056"/>
      <c r="R33" s="2056"/>
      <c r="S33" s="2056"/>
      <c r="T33" s="2056"/>
      <c r="U33" s="2056"/>
      <c r="V33" s="2056"/>
      <c r="W33" s="2056"/>
    </row>
    <row r="34" spans="1:23" ht="11.25" hidden="1" customHeight="1" x14ac:dyDescent="0.25">
      <c r="A34" s="942">
        <v>0</v>
      </c>
      <c r="B34" s="843"/>
      <c r="C34" s="2057"/>
      <c r="D34" s="2057"/>
      <c r="E34" s="2058"/>
      <c r="F34" s="2059"/>
      <c r="G34" s="2057"/>
      <c r="H34" s="2060"/>
      <c r="I34" s="2061"/>
      <c r="J34" s="2057"/>
      <c r="K34" s="2058"/>
      <c r="L34" s="2055"/>
      <c r="M34" s="2056"/>
      <c r="N34" s="2056"/>
      <c r="O34" s="2056"/>
      <c r="P34" s="2056"/>
      <c r="Q34" s="2056"/>
      <c r="R34" s="2056"/>
      <c r="S34" s="2056"/>
      <c r="T34" s="2056"/>
      <c r="U34" s="2056"/>
      <c r="V34" s="2056"/>
      <c r="W34" s="2056"/>
    </row>
    <row r="35" spans="1:23" ht="11.25" hidden="1" customHeight="1" x14ac:dyDescent="0.25">
      <c r="A35" s="942">
        <v>0</v>
      </c>
      <c r="B35" s="843"/>
      <c r="C35" s="2057"/>
      <c r="D35" s="2057"/>
      <c r="E35" s="2058"/>
      <c r="F35" s="2059"/>
      <c r="G35" s="2057"/>
      <c r="H35" s="2060"/>
      <c r="I35" s="2061"/>
      <c r="J35" s="2057"/>
      <c r="K35" s="2058"/>
      <c r="L35" s="2055"/>
      <c r="M35" s="2056"/>
      <c r="N35" s="2056"/>
      <c r="O35" s="2056"/>
      <c r="P35" s="2056"/>
      <c r="Q35" s="2056"/>
      <c r="R35" s="2056"/>
      <c r="S35" s="2056"/>
      <c r="T35" s="2056"/>
      <c r="U35" s="2056"/>
      <c r="V35" s="2056"/>
      <c r="W35" s="2056"/>
    </row>
    <row r="36" spans="1:23" ht="11.25" hidden="1" customHeight="1" x14ac:dyDescent="0.25">
      <c r="A36" s="942">
        <v>0</v>
      </c>
      <c r="B36" s="843"/>
      <c r="C36" s="2057"/>
      <c r="D36" s="2057"/>
      <c r="E36" s="2058"/>
      <c r="F36" s="2059"/>
      <c r="G36" s="2057"/>
      <c r="H36" s="2060"/>
      <c r="I36" s="2061"/>
      <c r="J36" s="2057"/>
      <c r="K36" s="2058"/>
      <c r="L36" s="2055"/>
      <c r="M36" s="2056"/>
      <c r="N36" s="2056"/>
      <c r="O36" s="2056"/>
      <c r="P36" s="2056"/>
      <c r="Q36" s="2056"/>
      <c r="R36" s="2056"/>
      <c r="S36" s="2056"/>
      <c r="T36" s="2056"/>
      <c r="U36" s="2056"/>
      <c r="V36" s="2056"/>
      <c r="W36" s="2056"/>
    </row>
    <row r="37" spans="1:23" ht="11.25" hidden="1" customHeight="1" x14ac:dyDescent="0.25">
      <c r="A37" s="942">
        <v>0</v>
      </c>
      <c r="B37" s="843"/>
      <c r="C37" s="2057"/>
      <c r="D37" s="2057"/>
      <c r="E37" s="2058"/>
      <c r="F37" s="2059"/>
      <c r="G37" s="2057"/>
      <c r="H37" s="2060"/>
      <c r="I37" s="2061"/>
      <c r="J37" s="2057"/>
      <c r="K37" s="2058"/>
      <c r="L37" s="2055"/>
      <c r="M37" s="2056"/>
      <c r="N37" s="2056"/>
      <c r="O37" s="2056"/>
      <c r="P37" s="2056"/>
      <c r="Q37" s="2056"/>
      <c r="R37" s="2056"/>
      <c r="S37" s="2056"/>
      <c r="T37" s="2056"/>
      <c r="U37" s="2056"/>
      <c r="V37" s="2056"/>
      <c r="W37" s="2056"/>
    </row>
    <row r="38" spans="1:23" ht="15" customHeight="1" x14ac:dyDescent="0.25">
      <c r="A38" s="941" t="s">
        <v>2377</v>
      </c>
      <c r="B38" s="846"/>
      <c r="C38" s="755">
        <v>263542.83</v>
      </c>
      <c r="D38" s="755">
        <v>302441.71000000008</v>
      </c>
      <c r="E38" s="758">
        <v>691999.75</v>
      </c>
      <c r="F38" s="757">
        <v>873000</v>
      </c>
      <c r="G38" s="755">
        <v>1066000</v>
      </c>
      <c r="H38" s="756">
        <v>1066000</v>
      </c>
      <c r="I38" s="1930">
        <v>1423300</v>
      </c>
      <c r="J38" s="755">
        <v>1717938</v>
      </c>
      <c r="K38" s="758">
        <v>1969114.28</v>
      </c>
      <c r="L38" s="2055"/>
      <c r="M38" s="2056"/>
      <c r="N38" s="2056"/>
      <c r="O38" s="2056"/>
      <c r="P38" s="2056"/>
      <c r="Q38" s="2056"/>
      <c r="R38" s="2056"/>
      <c r="S38" s="2056"/>
      <c r="T38" s="2056"/>
      <c r="U38" s="2056"/>
      <c r="V38" s="2056"/>
      <c r="W38" s="2056"/>
    </row>
    <row r="39" spans="1:23" ht="11.25" customHeight="1" x14ac:dyDescent="0.25">
      <c r="A39" s="942" t="s">
        <v>2327</v>
      </c>
      <c r="B39" s="843"/>
      <c r="C39" s="2057">
        <v>13070</v>
      </c>
      <c r="D39" s="2057">
        <v>900</v>
      </c>
      <c r="E39" s="2058">
        <v>378880</v>
      </c>
      <c r="F39" s="2059">
        <v>873000</v>
      </c>
      <c r="G39" s="2057">
        <v>873000</v>
      </c>
      <c r="H39" s="2060">
        <v>873000</v>
      </c>
      <c r="I39" s="2061">
        <v>1026000</v>
      </c>
      <c r="J39" s="2057">
        <v>1296800</v>
      </c>
      <c r="K39" s="2058">
        <v>1522708</v>
      </c>
      <c r="L39" s="2055"/>
      <c r="M39" s="2056"/>
      <c r="N39" s="2056"/>
      <c r="O39" s="2056"/>
      <c r="P39" s="2056"/>
      <c r="Q39" s="2056"/>
      <c r="R39" s="2056"/>
      <c r="S39" s="2056"/>
      <c r="T39" s="2056"/>
      <c r="U39" s="2056"/>
      <c r="V39" s="2056"/>
      <c r="W39" s="2056"/>
    </row>
    <row r="40" spans="1:23" ht="11.25" customHeight="1" x14ac:dyDescent="0.25">
      <c r="A40" s="942" t="s">
        <v>2328</v>
      </c>
      <c r="B40" s="843"/>
      <c r="C40" s="2057">
        <v>250472.83000000002</v>
      </c>
      <c r="D40" s="2057">
        <v>300796.31000000006</v>
      </c>
      <c r="E40" s="2058">
        <v>308875.15000000002</v>
      </c>
      <c r="F40" s="2059">
        <v>0</v>
      </c>
      <c r="G40" s="2057">
        <v>188000</v>
      </c>
      <c r="H40" s="2060">
        <v>188000</v>
      </c>
      <c r="I40" s="2061">
        <v>390000</v>
      </c>
      <c r="J40" s="2057">
        <v>413400</v>
      </c>
      <c r="K40" s="2058">
        <v>438204</v>
      </c>
      <c r="L40" s="2055"/>
      <c r="M40" s="2056"/>
      <c r="N40" s="2056"/>
      <c r="O40" s="2056"/>
      <c r="P40" s="2056"/>
      <c r="Q40" s="2056"/>
      <c r="R40" s="2056"/>
      <c r="S40" s="2056"/>
      <c r="T40" s="2056"/>
      <c r="U40" s="2056"/>
      <c r="V40" s="2056"/>
      <c r="W40" s="2056"/>
    </row>
    <row r="41" spans="1:23" ht="11.25" customHeight="1" x14ac:dyDescent="0.25">
      <c r="A41" s="942" t="s">
        <v>2329</v>
      </c>
      <c r="B41" s="843"/>
      <c r="C41" s="2057">
        <v>0</v>
      </c>
      <c r="D41" s="2057">
        <v>745.4</v>
      </c>
      <c r="E41" s="2058">
        <v>4244.6000000000004</v>
      </c>
      <c r="F41" s="2059">
        <v>0</v>
      </c>
      <c r="G41" s="2057">
        <v>5000</v>
      </c>
      <c r="H41" s="2060">
        <v>5000</v>
      </c>
      <c r="I41" s="2061">
        <v>7300</v>
      </c>
      <c r="J41" s="2057">
        <v>7738</v>
      </c>
      <c r="K41" s="2058">
        <v>8202.2800000000007</v>
      </c>
      <c r="L41" s="2055"/>
      <c r="M41" s="2056"/>
      <c r="N41" s="2056"/>
      <c r="O41" s="2056"/>
      <c r="P41" s="2056"/>
      <c r="Q41" s="2056"/>
      <c r="R41" s="2056"/>
      <c r="S41" s="2056"/>
      <c r="T41" s="2056"/>
      <c r="U41" s="2056"/>
      <c r="V41" s="2056"/>
      <c r="W41" s="2056"/>
    </row>
    <row r="42" spans="1:23" ht="11.25" hidden="1" customHeight="1" x14ac:dyDescent="0.25">
      <c r="A42" s="942">
        <v>0</v>
      </c>
      <c r="B42" s="843"/>
      <c r="C42" s="2057"/>
      <c r="D42" s="2057"/>
      <c r="E42" s="2058"/>
      <c r="F42" s="2059"/>
      <c r="G42" s="2057"/>
      <c r="H42" s="2060"/>
      <c r="I42" s="2061"/>
      <c r="J42" s="2057"/>
      <c r="K42" s="2058"/>
      <c r="L42" s="2055"/>
      <c r="M42" s="2056"/>
      <c r="N42" s="2056"/>
      <c r="O42" s="2056"/>
      <c r="P42" s="2056"/>
      <c r="Q42" s="2056"/>
      <c r="R42" s="2056"/>
      <c r="S42" s="2056"/>
      <c r="T42" s="2056"/>
      <c r="U42" s="2056"/>
      <c r="V42" s="2056"/>
      <c r="W42" s="2056"/>
    </row>
    <row r="43" spans="1:23" ht="11.25" hidden="1" customHeight="1" x14ac:dyDescent="0.25">
      <c r="A43" s="942">
        <v>0</v>
      </c>
      <c r="B43" s="843"/>
      <c r="C43" s="2057"/>
      <c r="D43" s="2057"/>
      <c r="E43" s="2058"/>
      <c r="F43" s="2059"/>
      <c r="G43" s="2057"/>
      <c r="H43" s="2060"/>
      <c r="I43" s="2061"/>
      <c r="J43" s="2057"/>
      <c r="K43" s="2058"/>
      <c r="L43" s="2055"/>
      <c r="M43" s="2056"/>
      <c r="N43" s="2056"/>
      <c r="O43" s="2056"/>
      <c r="P43" s="2056"/>
      <c r="Q43" s="2056"/>
      <c r="R43" s="2056"/>
      <c r="S43" s="2056"/>
      <c r="T43" s="2056"/>
      <c r="U43" s="2056"/>
      <c r="V43" s="2056"/>
      <c r="W43" s="2056"/>
    </row>
    <row r="44" spans="1:23" ht="11.25" hidden="1" customHeight="1" x14ac:dyDescent="0.25">
      <c r="A44" s="942">
        <v>0</v>
      </c>
      <c r="B44" s="843"/>
      <c r="C44" s="2057"/>
      <c r="D44" s="2057"/>
      <c r="E44" s="2058"/>
      <c r="F44" s="2059"/>
      <c r="G44" s="2057"/>
      <c r="H44" s="2060"/>
      <c r="I44" s="2061"/>
      <c r="J44" s="2057"/>
      <c r="K44" s="2058"/>
      <c r="L44" s="2055"/>
      <c r="M44" s="2056"/>
      <c r="N44" s="2056"/>
      <c r="O44" s="2056"/>
      <c r="P44" s="2056"/>
      <c r="Q44" s="2056"/>
      <c r="R44" s="2056"/>
      <c r="S44" s="2056"/>
      <c r="T44" s="2056"/>
      <c r="U44" s="2056"/>
      <c r="V44" s="2056"/>
      <c r="W44" s="2056"/>
    </row>
    <row r="45" spans="1:23" ht="11.25" hidden="1" customHeight="1" x14ac:dyDescent="0.25">
      <c r="A45" s="942">
        <v>0</v>
      </c>
      <c r="B45" s="843"/>
      <c r="C45" s="2057"/>
      <c r="D45" s="2057"/>
      <c r="E45" s="2058"/>
      <c r="F45" s="2059"/>
      <c r="G45" s="2057"/>
      <c r="H45" s="2060"/>
      <c r="I45" s="2061"/>
      <c r="J45" s="2057"/>
      <c r="K45" s="2058"/>
      <c r="L45" s="2055"/>
      <c r="M45" s="2056"/>
      <c r="N45" s="2056"/>
      <c r="O45" s="2056"/>
      <c r="P45" s="2056"/>
      <c r="Q45" s="2056"/>
      <c r="R45" s="2056"/>
      <c r="S45" s="2056"/>
      <c r="T45" s="2056"/>
      <c r="U45" s="2056"/>
      <c r="V45" s="2056"/>
      <c r="W45" s="2056"/>
    </row>
    <row r="46" spans="1:23" ht="11.25" hidden="1" customHeight="1" x14ac:dyDescent="0.25">
      <c r="A46" s="942">
        <v>0</v>
      </c>
      <c r="B46" s="843"/>
      <c r="C46" s="2057"/>
      <c r="D46" s="2057"/>
      <c r="E46" s="2058"/>
      <c r="F46" s="2059"/>
      <c r="G46" s="2057"/>
      <c r="H46" s="2060"/>
      <c r="I46" s="2061"/>
      <c r="J46" s="2057"/>
      <c r="K46" s="2058"/>
      <c r="L46" s="2055"/>
      <c r="M46" s="2056"/>
      <c r="N46" s="2056"/>
      <c r="O46" s="2056"/>
      <c r="P46" s="2056"/>
      <c r="Q46" s="2056"/>
      <c r="R46" s="2056"/>
      <c r="S46" s="2056"/>
      <c r="T46" s="2056"/>
      <c r="U46" s="2056"/>
      <c r="V46" s="2056"/>
      <c r="W46" s="2056"/>
    </row>
    <row r="47" spans="1:23" ht="11.25" hidden="1" customHeight="1" x14ac:dyDescent="0.25">
      <c r="A47" s="942">
        <v>0</v>
      </c>
      <c r="B47" s="843"/>
      <c r="C47" s="2057"/>
      <c r="D47" s="2057"/>
      <c r="E47" s="2058"/>
      <c r="F47" s="2059"/>
      <c r="G47" s="2057"/>
      <c r="H47" s="2060"/>
      <c r="I47" s="2061"/>
      <c r="J47" s="2057"/>
      <c r="K47" s="2058"/>
      <c r="L47" s="2055"/>
      <c r="M47" s="2056"/>
      <c r="N47" s="2056"/>
      <c r="O47" s="2056"/>
      <c r="P47" s="2056"/>
      <c r="Q47" s="2056"/>
      <c r="R47" s="2056"/>
      <c r="S47" s="2056"/>
      <c r="T47" s="2056"/>
      <c r="U47" s="2056"/>
      <c r="V47" s="2056"/>
      <c r="W47" s="2056"/>
    </row>
    <row r="48" spans="1:23" ht="11.25" hidden="1" customHeight="1" x14ac:dyDescent="0.25">
      <c r="A48" s="942">
        <v>0</v>
      </c>
      <c r="B48" s="843"/>
      <c r="C48" s="2057"/>
      <c r="D48" s="2057"/>
      <c r="E48" s="2058"/>
      <c r="F48" s="2059"/>
      <c r="G48" s="2057"/>
      <c r="H48" s="2060"/>
      <c r="I48" s="2061"/>
      <c r="J48" s="2057"/>
      <c r="K48" s="2058"/>
      <c r="L48" s="2055"/>
      <c r="M48" s="2056"/>
      <c r="N48" s="2056"/>
      <c r="O48" s="2056"/>
      <c r="P48" s="2056"/>
      <c r="Q48" s="2056"/>
      <c r="R48" s="2056"/>
      <c r="S48" s="2056"/>
      <c r="T48" s="2056"/>
      <c r="U48" s="2056"/>
      <c r="V48" s="2056"/>
      <c r="W48" s="2056"/>
    </row>
    <row r="49" spans="1:23" ht="15" customHeight="1" x14ac:dyDescent="0.25">
      <c r="A49" s="941" t="s">
        <v>2378</v>
      </c>
      <c r="B49" s="846"/>
      <c r="C49" s="755">
        <v>137600</v>
      </c>
      <c r="D49" s="755">
        <v>68600</v>
      </c>
      <c r="E49" s="758">
        <v>8800</v>
      </c>
      <c r="F49" s="757">
        <v>149600</v>
      </c>
      <c r="G49" s="755">
        <v>9600</v>
      </c>
      <c r="H49" s="756">
        <v>9600</v>
      </c>
      <c r="I49" s="1930">
        <v>10000</v>
      </c>
      <c r="J49" s="755">
        <v>10600</v>
      </c>
      <c r="K49" s="758">
        <v>11236</v>
      </c>
      <c r="L49" s="2055"/>
      <c r="M49" s="2056"/>
      <c r="N49" s="2056"/>
      <c r="O49" s="2056"/>
      <c r="P49" s="2056"/>
      <c r="Q49" s="2056"/>
      <c r="R49" s="2056"/>
      <c r="S49" s="2056"/>
      <c r="T49" s="2056"/>
      <c r="U49" s="2056"/>
      <c r="V49" s="2056"/>
      <c r="W49" s="2056"/>
    </row>
    <row r="50" spans="1:23" ht="11.25" customHeight="1" x14ac:dyDescent="0.25">
      <c r="A50" s="942" t="s">
        <v>2330</v>
      </c>
      <c r="B50" s="843"/>
      <c r="C50" s="2057">
        <v>137600</v>
      </c>
      <c r="D50" s="2057">
        <v>68600</v>
      </c>
      <c r="E50" s="2058">
        <v>8800</v>
      </c>
      <c r="F50" s="2059">
        <v>149600</v>
      </c>
      <c r="G50" s="2057">
        <v>9600</v>
      </c>
      <c r="H50" s="2060">
        <v>9600</v>
      </c>
      <c r="I50" s="2061">
        <v>10000</v>
      </c>
      <c r="J50" s="2057">
        <v>10600</v>
      </c>
      <c r="K50" s="2058">
        <v>11236</v>
      </c>
      <c r="L50" s="2055"/>
      <c r="M50" s="2056"/>
      <c r="N50" s="2056"/>
      <c r="O50" s="2056"/>
      <c r="P50" s="2056"/>
      <c r="Q50" s="2056"/>
      <c r="R50" s="2056"/>
      <c r="S50" s="2056"/>
      <c r="T50" s="2056"/>
      <c r="U50" s="2056"/>
      <c r="V50" s="2056"/>
      <c r="W50" s="2056"/>
    </row>
    <row r="51" spans="1:23" ht="11.25" hidden="1" customHeight="1" x14ac:dyDescent="0.25">
      <c r="A51" s="942">
        <v>0</v>
      </c>
      <c r="B51" s="843"/>
      <c r="C51" s="2057"/>
      <c r="D51" s="2057"/>
      <c r="E51" s="2058"/>
      <c r="F51" s="2059"/>
      <c r="G51" s="2057"/>
      <c r="H51" s="2060"/>
      <c r="I51" s="2061"/>
      <c r="J51" s="2057"/>
      <c r="K51" s="2058"/>
      <c r="L51" s="2055"/>
      <c r="M51" s="2056"/>
      <c r="N51" s="2056"/>
      <c r="O51" s="2056"/>
      <c r="P51" s="2056"/>
      <c r="Q51" s="2056"/>
      <c r="R51" s="2056"/>
      <c r="S51" s="2056"/>
      <c r="T51" s="2056"/>
      <c r="U51" s="2056"/>
      <c r="V51" s="2056"/>
      <c r="W51" s="2056"/>
    </row>
    <row r="52" spans="1:23" ht="11.25" hidden="1" customHeight="1" x14ac:dyDescent="0.25">
      <c r="A52" s="942">
        <v>0</v>
      </c>
      <c r="B52" s="843"/>
      <c r="C52" s="2057"/>
      <c r="D52" s="2057"/>
      <c r="E52" s="2058"/>
      <c r="F52" s="2059"/>
      <c r="G52" s="2057"/>
      <c r="H52" s="2060"/>
      <c r="I52" s="2061"/>
      <c r="J52" s="2057"/>
      <c r="K52" s="2058"/>
      <c r="L52" s="2055"/>
      <c r="M52" s="2056"/>
      <c r="N52" s="2056"/>
      <c r="O52" s="2056"/>
      <c r="P52" s="2056"/>
      <c r="Q52" s="2056"/>
      <c r="R52" s="2056"/>
      <c r="S52" s="2056"/>
      <c r="T52" s="2056"/>
      <c r="U52" s="2056"/>
      <c r="V52" s="2056"/>
      <c r="W52" s="2056"/>
    </row>
    <row r="53" spans="1:23" ht="11.25" hidden="1" customHeight="1" x14ac:dyDescent="0.25">
      <c r="A53" s="942">
        <v>0</v>
      </c>
      <c r="B53" s="843"/>
      <c r="C53" s="2057"/>
      <c r="D53" s="2057"/>
      <c r="E53" s="2058"/>
      <c r="F53" s="2059"/>
      <c r="G53" s="2057"/>
      <c r="H53" s="2060"/>
      <c r="I53" s="2061"/>
      <c r="J53" s="2057"/>
      <c r="K53" s="2058"/>
      <c r="L53" s="2055"/>
      <c r="M53" s="2056"/>
      <c r="N53" s="2056"/>
      <c r="O53" s="2056"/>
      <c r="P53" s="2056"/>
      <c r="Q53" s="2056"/>
      <c r="R53" s="2056"/>
      <c r="S53" s="2056"/>
      <c r="T53" s="2056"/>
      <c r="U53" s="2056"/>
      <c r="V53" s="2056"/>
      <c r="W53" s="2056"/>
    </row>
    <row r="54" spans="1:23" ht="11.25" hidden="1" customHeight="1" x14ac:dyDescent="0.25">
      <c r="A54" s="942">
        <v>0</v>
      </c>
      <c r="B54" s="843"/>
      <c r="C54" s="2057"/>
      <c r="D54" s="2057"/>
      <c r="E54" s="2058"/>
      <c r="F54" s="2059"/>
      <c r="G54" s="2057"/>
      <c r="H54" s="2060"/>
      <c r="I54" s="2061"/>
      <c r="J54" s="2057"/>
      <c r="K54" s="2058"/>
      <c r="L54" s="2055"/>
      <c r="M54" s="2056"/>
      <c r="N54" s="2056"/>
      <c r="O54" s="2056"/>
      <c r="P54" s="2056"/>
      <c r="Q54" s="2056"/>
      <c r="R54" s="2056"/>
      <c r="S54" s="2056"/>
      <c r="T54" s="2056"/>
      <c r="U54" s="2056"/>
      <c r="V54" s="2056"/>
      <c r="W54" s="2056"/>
    </row>
    <row r="55" spans="1:23" ht="11.25" hidden="1" customHeight="1" x14ac:dyDescent="0.25">
      <c r="A55" s="942">
        <v>0</v>
      </c>
      <c r="B55" s="843"/>
      <c r="C55" s="2057"/>
      <c r="D55" s="2057"/>
      <c r="E55" s="2058"/>
      <c r="F55" s="2059"/>
      <c r="G55" s="2057"/>
      <c r="H55" s="2060"/>
      <c r="I55" s="2061"/>
      <c r="J55" s="2057"/>
      <c r="K55" s="2058"/>
      <c r="L55" s="2055"/>
      <c r="M55" s="2056"/>
      <c r="N55" s="2056"/>
      <c r="O55" s="2056"/>
      <c r="P55" s="2056"/>
      <c r="Q55" s="2056"/>
      <c r="R55" s="2056"/>
      <c r="S55" s="2056"/>
      <c r="T55" s="2056"/>
      <c r="U55" s="2056"/>
      <c r="V55" s="2056"/>
      <c r="W55" s="2056"/>
    </row>
    <row r="56" spans="1:23" ht="11.25" hidden="1" customHeight="1" x14ac:dyDescent="0.25">
      <c r="A56" s="942">
        <v>0</v>
      </c>
      <c r="B56" s="843"/>
      <c r="C56" s="2057"/>
      <c r="D56" s="2057"/>
      <c r="E56" s="2058"/>
      <c r="F56" s="2059"/>
      <c r="G56" s="2057"/>
      <c r="H56" s="2060"/>
      <c r="I56" s="2061"/>
      <c r="J56" s="2057"/>
      <c r="K56" s="2058"/>
      <c r="L56" s="2055"/>
      <c r="M56" s="2056"/>
      <c r="N56" s="2056"/>
      <c r="O56" s="2056"/>
      <c r="P56" s="2056"/>
      <c r="Q56" s="2056"/>
      <c r="R56" s="2056"/>
      <c r="S56" s="2056"/>
      <c r="T56" s="2056"/>
      <c r="U56" s="2056"/>
      <c r="V56" s="2056"/>
      <c r="W56" s="2056"/>
    </row>
    <row r="57" spans="1:23" ht="11.25" hidden="1" customHeight="1" x14ac:dyDescent="0.25">
      <c r="A57" s="942">
        <v>0</v>
      </c>
      <c r="B57" s="843"/>
      <c r="C57" s="2057"/>
      <c r="D57" s="2057"/>
      <c r="E57" s="2058"/>
      <c r="F57" s="2059"/>
      <c r="G57" s="2057"/>
      <c r="H57" s="2060"/>
      <c r="I57" s="2061"/>
      <c r="J57" s="2057"/>
      <c r="K57" s="2058"/>
      <c r="L57" s="2055"/>
      <c r="M57" s="2056"/>
      <c r="N57" s="2056"/>
      <c r="O57" s="2056"/>
      <c r="P57" s="2056"/>
      <c r="Q57" s="2056"/>
      <c r="R57" s="2056"/>
      <c r="S57" s="2056"/>
      <c r="T57" s="2056"/>
      <c r="U57" s="2056"/>
      <c r="V57" s="2056"/>
      <c r="W57" s="2056"/>
    </row>
    <row r="58" spans="1:23" ht="11.25" hidden="1" customHeight="1" x14ac:dyDescent="0.25">
      <c r="A58" s="942">
        <v>0</v>
      </c>
      <c r="B58" s="843"/>
      <c r="C58" s="2057"/>
      <c r="D58" s="2057"/>
      <c r="E58" s="2058"/>
      <c r="F58" s="2059"/>
      <c r="G58" s="2057"/>
      <c r="H58" s="2060"/>
      <c r="I58" s="2061"/>
      <c r="J58" s="2057"/>
      <c r="K58" s="2058"/>
      <c r="L58" s="2055"/>
      <c r="M58" s="2056"/>
      <c r="N58" s="2056"/>
      <c r="O58" s="2056"/>
      <c r="P58" s="2056"/>
      <c r="Q58" s="2056"/>
      <c r="R58" s="2056"/>
      <c r="S58" s="2056"/>
      <c r="T58" s="2056"/>
      <c r="U58" s="2056"/>
      <c r="V58" s="2056"/>
      <c r="W58" s="2056"/>
    </row>
    <row r="59" spans="1:23" ht="11.25" hidden="1" customHeight="1" x14ac:dyDescent="0.25">
      <c r="A59" s="942">
        <v>0</v>
      </c>
      <c r="B59" s="843"/>
      <c r="C59" s="2057"/>
      <c r="D59" s="2057"/>
      <c r="E59" s="2058"/>
      <c r="F59" s="2059"/>
      <c r="G59" s="2057"/>
      <c r="H59" s="2060"/>
      <c r="I59" s="2061"/>
      <c r="J59" s="2057"/>
      <c r="K59" s="2058"/>
      <c r="L59" s="2055"/>
      <c r="M59" s="2056"/>
      <c r="N59" s="2056"/>
      <c r="O59" s="2056"/>
      <c r="P59" s="2056"/>
      <c r="Q59" s="2056"/>
      <c r="R59" s="2056"/>
      <c r="S59" s="2056"/>
      <c r="T59" s="2056"/>
      <c r="U59" s="2056"/>
      <c r="V59" s="2056"/>
      <c r="W59" s="2056"/>
    </row>
    <row r="60" spans="1:23" ht="15" customHeight="1" x14ac:dyDescent="0.25">
      <c r="A60" s="941" t="s">
        <v>2379</v>
      </c>
      <c r="B60" s="846"/>
      <c r="C60" s="755">
        <v>1493289.4</v>
      </c>
      <c r="D60" s="755">
        <v>1992158.5290000001</v>
      </c>
      <c r="E60" s="758">
        <v>2099531.8899999997</v>
      </c>
      <c r="F60" s="757">
        <v>95400</v>
      </c>
      <c r="G60" s="755">
        <v>9623500</v>
      </c>
      <c r="H60" s="756">
        <v>9623500</v>
      </c>
      <c r="I60" s="1930">
        <v>11597000</v>
      </c>
      <c r="J60" s="755">
        <v>12233220</v>
      </c>
      <c r="K60" s="758">
        <v>12940753.200000001</v>
      </c>
      <c r="L60" s="2055"/>
      <c r="M60" s="2056"/>
      <c r="N60" s="2056"/>
      <c r="O60" s="2056"/>
      <c r="P60" s="2056"/>
      <c r="Q60" s="2056"/>
      <c r="R60" s="2056"/>
      <c r="S60" s="2056"/>
      <c r="T60" s="2056"/>
      <c r="U60" s="2056"/>
      <c r="V60" s="2056"/>
      <c r="W60" s="2056"/>
    </row>
    <row r="61" spans="1:23" ht="11.25" customHeight="1" x14ac:dyDescent="0.25">
      <c r="A61" s="942" t="s">
        <v>2331</v>
      </c>
      <c r="B61" s="843"/>
      <c r="C61" s="2057">
        <v>1481075.01</v>
      </c>
      <c r="D61" s="2057">
        <v>1978504.8390000002</v>
      </c>
      <c r="E61" s="2058">
        <v>1843251.3799999997</v>
      </c>
      <c r="F61" s="2059">
        <v>78900</v>
      </c>
      <c r="G61" s="2057">
        <v>9589000</v>
      </c>
      <c r="H61" s="2060">
        <v>9589000</v>
      </c>
      <c r="I61" s="2061">
        <v>11557500</v>
      </c>
      <c r="J61" s="2057">
        <v>12191350</v>
      </c>
      <c r="K61" s="2058">
        <v>12896371.000000002</v>
      </c>
      <c r="L61" s="2055"/>
      <c r="M61" s="2056"/>
      <c r="N61" s="2056"/>
      <c r="O61" s="2056"/>
      <c r="P61" s="2056"/>
      <c r="Q61" s="2056"/>
      <c r="R61" s="2056"/>
      <c r="S61" s="2056"/>
      <c r="T61" s="2056"/>
      <c r="U61" s="2056"/>
      <c r="V61" s="2056"/>
      <c r="W61" s="2056"/>
    </row>
    <row r="62" spans="1:23" ht="11.25" customHeight="1" x14ac:dyDescent="0.25">
      <c r="A62" s="942" t="s">
        <v>2332</v>
      </c>
      <c r="B62" s="843"/>
      <c r="C62" s="2057">
        <v>0</v>
      </c>
      <c r="D62" s="2057">
        <v>0</v>
      </c>
      <c r="E62" s="2058">
        <v>243130.72999999998</v>
      </c>
      <c r="F62" s="2059">
        <v>2500</v>
      </c>
      <c r="G62" s="2057">
        <v>2500</v>
      </c>
      <c r="H62" s="2060">
        <v>2500</v>
      </c>
      <c r="I62" s="2061">
        <v>2500</v>
      </c>
      <c r="J62" s="2057">
        <v>2650</v>
      </c>
      <c r="K62" s="2058">
        <v>2809</v>
      </c>
      <c r="L62" s="2055"/>
      <c r="M62" s="2056"/>
      <c r="N62" s="2056"/>
      <c r="O62" s="2056"/>
      <c r="P62" s="2056"/>
      <c r="Q62" s="2056"/>
      <c r="R62" s="2056"/>
      <c r="S62" s="2056"/>
      <c r="T62" s="2056"/>
      <c r="U62" s="2056"/>
      <c r="V62" s="2056"/>
      <c r="W62" s="2056"/>
    </row>
    <row r="63" spans="1:23" ht="11.25" customHeight="1" x14ac:dyDescent="0.25">
      <c r="A63" s="942" t="s">
        <v>2333</v>
      </c>
      <c r="B63" s="843"/>
      <c r="C63" s="2057">
        <v>12214.39</v>
      </c>
      <c r="D63" s="2057">
        <v>13653.69</v>
      </c>
      <c r="E63" s="2058">
        <v>13149.78</v>
      </c>
      <c r="F63" s="2059">
        <v>14000</v>
      </c>
      <c r="G63" s="2057">
        <v>32000</v>
      </c>
      <c r="H63" s="2060">
        <v>32000</v>
      </c>
      <c r="I63" s="2061">
        <v>37000</v>
      </c>
      <c r="J63" s="2057">
        <v>39220</v>
      </c>
      <c r="K63" s="2058">
        <v>41573.199999999997</v>
      </c>
      <c r="L63" s="2055"/>
      <c r="M63" s="2056"/>
      <c r="N63" s="2056"/>
      <c r="O63" s="2056"/>
      <c r="P63" s="2056"/>
      <c r="Q63" s="2056"/>
      <c r="R63" s="2056"/>
      <c r="S63" s="2056"/>
      <c r="T63" s="2056"/>
      <c r="U63" s="2056"/>
      <c r="V63" s="2056"/>
      <c r="W63" s="2056"/>
    </row>
    <row r="64" spans="1:23" ht="11.25" customHeight="1" x14ac:dyDescent="0.25">
      <c r="A64" s="942" t="s">
        <v>2334</v>
      </c>
      <c r="B64" s="843"/>
      <c r="C64" s="2057">
        <v>0</v>
      </c>
      <c r="D64" s="2057">
        <v>0</v>
      </c>
      <c r="E64" s="2058">
        <v>0</v>
      </c>
      <c r="F64" s="2059">
        <v>0</v>
      </c>
      <c r="G64" s="2057">
        <v>0</v>
      </c>
      <c r="H64" s="2060">
        <v>0</v>
      </c>
      <c r="I64" s="2061">
        <v>0</v>
      </c>
      <c r="J64" s="2057">
        <v>0</v>
      </c>
      <c r="K64" s="2058">
        <v>0</v>
      </c>
      <c r="L64" s="2055"/>
      <c r="M64" s="2056"/>
      <c r="N64" s="2056"/>
      <c r="O64" s="2056"/>
      <c r="P64" s="2056"/>
      <c r="Q64" s="2056"/>
      <c r="R64" s="2056"/>
      <c r="S64" s="2056"/>
      <c r="T64" s="2056"/>
      <c r="U64" s="2056"/>
      <c r="V64" s="2056"/>
      <c r="W64" s="2056"/>
    </row>
    <row r="65" spans="1:23" ht="11.25" hidden="1" customHeight="1" x14ac:dyDescent="0.25">
      <c r="A65" s="942">
        <v>0</v>
      </c>
      <c r="B65" s="843"/>
      <c r="C65" s="2057"/>
      <c r="D65" s="2057"/>
      <c r="E65" s="2058"/>
      <c r="F65" s="2059"/>
      <c r="G65" s="2057"/>
      <c r="H65" s="2060"/>
      <c r="I65" s="2061"/>
      <c r="J65" s="2057"/>
      <c r="K65" s="2058"/>
      <c r="L65" s="2055"/>
      <c r="M65" s="2056"/>
      <c r="N65" s="2056"/>
      <c r="O65" s="2056"/>
      <c r="P65" s="2056"/>
      <c r="Q65" s="2056"/>
      <c r="R65" s="2056"/>
      <c r="S65" s="2056"/>
      <c r="T65" s="2056"/>
      <c r="U65" s="2056"/>
      <c r="V65" s="2056"/>
      <c r="W65" s="2056"/>
    </row>
    <row r="66" spans="1:23" ht="11.25" hidden="1" customHeight="1" x14ac:dyDescent="0.25">
      <c r="A66" s="942">
        <v>0</v>
      </c>
      <c r="B66" s="843"/>
      <c r="C66" s="2057"/>
      <c r="D66" s="2057"/>
      <c r="E66" s="2058"/>
      <c r="F66" s="2059"/>
      <c r="G66" s="2057"/>
      <c r="H66" s="2060"/>
      <c r="I66" s="2061"/>
      <c r="J66" s="2057"/>
      <c r="K66" s="2058"/>
      <c r="L66" s="2055"/>
      <c r="M66" s="2056"/>
      <c r="N66" s="2056"/>
      <c r="O66" s="2056"/>
      <c r="P66" s="2056"/>
      <c r="Q66" s="2056"/>
      <c r="R66" s="2056"/>
      <c r="S66" s="2056"/>
      <c r="T66" s="2056"/>
      <c r="U66" s="2056"/>
      <c r="V66" s="2056"/>
      <c r="W66" s="2056"/>
    </row>
    <row r="67" spans="1:23" ht="11.25" hidden="1" customHeight="1" x14ac:dyDescent="0.25">
      <c r="A67" s="942">
        <v>0</v>
      </c>
      <c r="B67" s="843"/>
      <c r="C67" s="2057"/>
      <c r="D67" s="2057"/>
      <c r="E67" s="2058"/>
      <c r="F67" s="2059"/>
      <c r="G67" s="2057"/>
      <c r="H67" s="2060"/>
      <c r="I67" s="2061"/>
      <c r="J67" s="2057"/>
      <c r="K67" s="2058"/>
      <c r="L67" s="2055"/>
      <c r="M67" s="2056"/>
      <c r="N67" s="2056"/>
      <c r="O67" s="2056"/>
      <c r="P67" s="2056"/>
      <c r="Q67" s="2056"/>
      <c r="R67" s="2056"/>
      <c r="S67" s="2056"/>
      <c r="T67" s="2056"/>
      <c r="U67" s="2056"/>
      <c r="V67" s="2056"/>
      <c r="W67" s="2056"/>
    </row>
    <row r="68" spans="1:23" ht="11.25" hidden="1" customHeight="1" x14ac:dyDescent="0.25">
      <c r="A68" s="942">
        <v>0</v>
      </c>
      <c r="B68" s="843"/>
      <c r="C68" s="2057"/>
      <c r="D68" s="2057"/>
      <c r="E68" s="2058"/>
      <c r="F68" s="2059"/>
      <c r="G68" s="2057"/>
      <c r="H68" s="2060"/>
      <c r="I68" s="2061"/>
      <c r="J68" s="2057"/>
      <c r="K68" s="2058"/>
      <c r="L68" s="2055"/>
      <c r="M68" s="2056"/>
      <c r="N68" s="2056"/>
      <c r="O68" s="2056"/>
      <c r="P68" s="2056"/>
      <c r="Q68" s="2056"/>
      <c r="R68" s="2056"/>
      <c r="S68" s="2056"/>
      <c r="T68" s="2056"/>
      <c r="U68" s="2056"/>
      <c r="V68" s="2056"/>
      <c r="W68" s="2056"/>
    </row>
    <row r="69" spans="1:23" ht="11.25" hidden="1" customHeight="1" x14ac:dyDescent="0.25">
      <c r="A69" s="942">
        <v>0</v>
      </c>
      <c r="B69" s="843"/>
      <c r="C69" s="2057"/>
      <c r="D69" s="2057"/>
      <c r="E69" s="2058"/>
      <c r="F69" s="2059"/>
      <c r="G69" s="2057"/>
      <c r="H69" s="2060"/>
      <c r="I69" s="2061"/>
      <c r="J69" s="2057"/>
      <c r="K69" s="2058"/>
      <c r="L69" s="2055"/>
      <c r="M69" s="2056"/>
      <c r="N69" s="2056"/>
      <c r="O69" s="2056"/>
      <c r="P69" s="2056"/>
      <c r="Q69" s="2056"/>
      <c r="R69" s="2056"/>
      <c r="S69" s="2056"/>
      <c r="T69" s="2056"/>
      <c r="U69" s="2056"/>
      <c r="V69" s="2056"/>
      <c r="W69" s="2056"/>
    </row>
    <row r="70" spans="1:23" ht="11.25" hidden="1" customHeight="1" x14ac:dyDescent="0.25">
      <c r="A70" s="942">
        <v>0</v>
      </c>
      <c r="B70" s="843"/>
      <c r="C70" s="2057"/>
      <c r="D70" s="2057"/>
      <c r="E70" s="2058"/>
      <c r="F70" s="2059"/>
      <c r="G70" s="2057"/>
      <c r="H70" s="2060"/>
      <c r="I70" s="2061"/>
      <c r="J70" s="2057"/>
      <c r="K70" s="2058"/>
      <c r="L70" s="2055"/>
      <c r="M70" s="2056"/>
      <c r="N70" s="2056"/>
      <c r="O70" s="2056"/>
      <c r="P70" s="2056"/>
      <c r="Q70" s="2056"/>
      <c r="R70" s="2056"/>
      <c r="S70" s="2056"/>
      <c r="T70" s="2056"/>
      <c r="U70" s="2056"/>
      <c r="V70" s="2056"/>
      <c r="W70" s="2056"/>
    </row>
    <row r="71" spans="1:23" ht="15" customHeight="1" x14ac:dyDescent="0.25">
      <c r="A71" s="941" t="s">
        <v>2380</v>
      </c>
      <c r="B71" s="846"/>
      <c r="C71" s="755">
        <v>0</v>
      </c>
      <c r="D71" s="755">
        <v>190479.12000000002</v>
      </c>
      <c r="E71" s="758">
        <v>7789.45</v>
      </c>
      <c r="F71" s="757">
        <v>2000</v>
      </c>
      <c r="G71" s="755">
        <v>2000</v>
      </c>
      <c r="H71" s="756">
        <v>2000</v>
      </c>
      <c r="I71" s="1930">
        <v>2000</v>
      </c>
      <c r="J71" s="755">
        <v>2120</v>
      </c>
      <c r="K71" s="758">
        <v>2247.2000000000003</v>
      </c>
      <c r="L71" s="2055"/>
      <c r="M71" s="2056"/>
      <c r="N71" s="2056"/>
      <c r="O71" s="2056"/>
      <c r="P71" s="2056"/>
      <c r="Q71" s="2056"/>
      <c r="R71" s="2056"/>
      <c r="S71" s="2056"/>
      <c r="T71" s="2056"/>
      <c r="U71" s="2056"/>
      <c r="V71" s="2056"/>
      <c r="W71" s="2056"/>
    </row>
    <row r="72" spans="1:23" ht="11.25" customHeight="1" x14ac:dyDescent="0.25">
      <c r="A72" s="942" t="s">
        <v>2335</v>
      </c>
      <c r="B72" s="843"/>
      <c r="C72" s="2057">
        <v>0</v>
      </c>
      <c r="D72" s="2057">
        <v>190479.12000000002</v>
      </c>
      <c r="E72" s="2058">
        <v>7789.45</v>
      </c>
      <c r="F72" s="2059">
        <v>2000</v>
      </c>
      <c r="G72" s="2057">
        <v>2000</v>
      </c>
      <c r="H72" s="2060">
        <v>2000</v>
      </c>
      <c r="I72" s="2061">
        <v>2000</v>
      </c>
      <c r="J72" s="2057">
        <v>2120</v>
      </c>
      <c r="K72" s="2058">
        <v>2247.2000000000003</v>
      </c>
      <c r="L72" s="2055"/>
      <c r="M72" s="2056"/>
      <c r="N72" s="2056"/>
      <c r="O72" s="2056"/>
      <c r="P72" s="2056"/>
      <c r="Q72" s="2056"/>
      <c r="R72" s="2056"/>
      <c r="S72" s="2056"/>
      <c r="T72" s="2056"/>
      <c r="U72" s="2056"/>
      <c r="V72" s="2056"/>
      <c r="W72" s="2056"/>
    </row>
    <row r="73" spans="1:23" ht="11.25" hidden="1" customHeight="1" x14ac:dyDescent="0.25">
      <c r="A73" s="942">
        <v>0</v>
      </c>
      <c r="B73" s="843"/>
      <c r="C73" s="2057"/>
      <c r="D73" s="2057"/>
      <c r="E73" s="2058"/>
      <c r="F73" s="2059"/>
      <c r="G73" s="2057"/>
      <c r="H73" s="2060"/>
      <c r="I73" s="2061"/>
      <c r="J73" s="2057"/>
      <c r="K73" s="2058"/>
      <c r="L73" s="2055"/>
      <c r="M73" s="2056"/>
      <c r="N73" s="2056"/>
      <c r="O73" s="2056"/>
      <c r="P73" s="2056"/>
      <c r="Q73" s="2056"/>
      <c r="R73" s="2056"/>
      <c r="S73" s="2056"/>
      <c r="T73" s="2056"/>
      <c r="U73" s="2056"/>
      <c r="V73" s="2056"/>
      <c r="W73" s="2056"/>
    </row>
    <row r="74" spans="1:23" ht="11.25" hidden="1" customHeight="1" x14ac:dyDescent="0.25">
      <c r="A74" s="942">
        <v>0</v>
      </c>
      <c r="B74" s="843"/>
      <c r="C74" s="2057"/>
      <c r="D74" s="2057"/>
      <c r="E74" s="2058"/>
      <c r="F74" s="2059"/>
      <c r="G74" s="2057"/>
      <c r="H74" s="2060"/>
      <c r="I74" s="2061"/>
      <c r="J74" s="2057"/>
      <c r="K74" s="2058"/>
      <c r="L74" s="2055"/>
      <c r="M74" s="2056"/>
      <c r="N74" s="2056"/>
      <c r="O74" s="2056"/>
      <c r="P74" s="2056"/>
      <c r="Q74" s="2056"/>
      <c r="R74" s="2056"/>
      <c r="S74" s="2056"/>
      <c r="T74" s="2056"/>
      <c r="U74" s="2056"/>
      <c r="V74" s="2056"/>
      <c r="W74" s="2056"/>
    </row>
    <row r="75" spans="1:23" ht="11.25" hidden="1" customHeight="1" x14ac:dyDescent="0.25">
      <c r="A75" s="942">
        <v>0</v>
      </c>
      <c r="B75" s="843"/>
      <c r="C75" s="2057"/>
      <c r="D75" s="2057"/>
      <c r="E75" s="2058"/>
      <c r="F75" s="2059"/>
      <c r="G75" s="2057"/>
      <c r="H75" s="2060"/>
      <c r="I75" s="2061"/>
      <c r="J75" s="2057"/>
      <c r="K75" s="2058"/>
      <c r="L75" s="2055"/>
      <c r="M75" s="2056"/>
      <c r="N75" s="2056"/>
      <c r="O75" s="2056"/>
      <c r="P75" s="2056"/>
      <c r="Q75" s="2056"/>
      <c r="R75" s="2056"/>
      <c r="S75" s="2056"/>
      <c r="T75" s="2056"/>
      <c r="U75" s="2056"/>
      <c r="V75" s="2056"/>
      <c r="W75" s="2056"/>
    </row>
    <row r="76" spans="1:23" ht="11.25" hidden="1" customHeight="1" x14ac:dyDescent="0.25">
      <c r="A76" s="942">
        <v>0</v>
      </c>
      <c r="B76" s="843"/>
      <c r="C76" s="2057"/>
      <c r="D76" s="2057"/>
      <c r="E76" s="2058"/>
      <c r="F76" s="2059"/>
      <c r="G76" s="2057"/>
      <c r="H76" s="2060"/>
      <c r="I76" s="2061"/>
      <c r="J76" s="2057"/>
      <c r="K76" s="2058"/>
      <c r="L76" s="2055"/>
      <c r="M76" s="2056"/>
      <c r="N76" s="2056"/>
      <c r="O76" s="2056"/>
      <c r="P76" s="2056"/>
      <c r="Q76" s="2056"/>
      <c r="R76" s="2056"/>
      <c r="S76" s="2056"/>
      <c r="T76" s="2056"/>
      <c r="U76" s="2056"/>
      <c r="V76" s="2056"/>
      <c r="W76" s="2056"/>
    </row>
    <row r="77" spans="1:23" ht="11.25" hidden="1" customHeight="1" x14ac:dyDescent="0.25">
      <c r="A77" s="942">
        <v>0</v>
      </c>
      <c r="B77" s="843"/>
      <c r="C77" s="2057"/>
      <c r="D77" s="2057"/>
      <c r="E77" s="2058"/>
      <c r="F77" s="2059"/>
      <c r="G77" s="2057"/>
      <c r="H77" s="2060"/>
      <c r="I77" s="2061"/>
      <c r="J77" s="2057"/>
      <c r="K77" s="2058"/>
      <c r="L77" s="2055"/>
      <c r="M77" s="2056"/>
      <c r="N77" s="2056"/>
      <c r="O77" s="2056"/>
      <c r="P77" s="2056"/>
      <c r="Q77" s="2056"/>
      <c r="R77" s="2056"/>
      <c r="S77" s="2056"/>
      <c r="T77" s="2056"/>
      <c r="U77" s="2056"/>
      <c r="V77" s="2056"/>
      <c r="W77" s="2056"/>
    </row>
    <row r="78" spans="1:23" ht="11.25" hidden="1" customHeight="1" x14ac:dyDescent="0.25">
      <c r="A78" s="942">
        <v>0</v>
      </c>
      <c r="B78" s="843"/>
      <c r="C78" s="2057"/>
      <c r="D78" s="2057"/>
      <c r="E78" s="2058"/>
      <c r="F78" s="2059"/>
      <c r="G78" s="2057"/>
      <c r="H78" s="2060"/>
      <c r="I78" s="2061"/>
      <c r="J78" s="2057"/>
      <c r="K78" s="2058"/>
      <c r="L78" s="206"/>
      <c r="M78" s="207"/>
      <c r="N78" s="207"/>
      <c r="O78" s="207"/>
      <c r="P78" s="207"/>
      <c r="Q78" s="207"/>
      <c r="R78" s="207"/>
      <c r="S78" s="207"/>
      <c r="T78" s="207"/>
      <c r="U78" s="207"/>
      <c r="V78" s="207"/>
      <c r="W78" s="207"/>
    </row>
    <row r="79" spans="1:23" ht="11.25" hidden="1" customHeight="1" x14ac:dyDescent="0.25">
      <c r="A79" s="942">
        <v>0</v>
      </c>
      <c r="B79" s="843"/>
      <c r="C79" s="2057"/>
      <c r="D79" s="2057"/>
      <c r="E79" s="2058"/>
      <c r="F79" s="2059"/>
      <c r="G79" s="2057"/>
      <c r="H79" s="2060"/>
      <c r="I79" s="2061"/>
      <c r="J79" s="2057"/>
      <c r="K79" s="2058"/>
      <c r="L79" s="206"/>
      <c r="M79" s="207"/>
      <c r="N79" s="207"/>
      <c r="O79" s="207"/>
      <c r="P79" s="207"/>
      <c r="Q79" s="207"/>
      <c r="R79" s="207"/>
      <c r="S79" s="207"/>
      <c r="T79" s="207"/>
      <c r="U79" s="207"/>
      <c r="V79" s="207"/>
      <c r="W79" s="207"/>
    </row>
    <row r="80" spans="1:23" ht="11.25" hidden="1" customHeight="1" x14ac:dyDescent="0.25">
      <c r="A80" s="942">
        <v>0</v>
      </c>
      <c r="B80" s="843"/>
      <c r="C80" s="2057"/>
      <c r="D80" s="2057"/>
      <c r="E80" s="2058"/>
      <c r="F80" s="2059"/>
      <c r="G80" s="2057"/>
      <c r="H80" s="2060"/>
      <c r="I80" s="2061"/>
      <c r="J80" s="2057"/>
      <c r="K80" s="2058"/>
      <c r="L80" s="206"/>
      <c r="M80" s="207"/>
      <c r="N80" s="207"/>
      <c r="O80" s="207"/>
      <c r="P80" s="207"/>
      <c r="Q80" s="207"/>
      <c r="R80" s="207"/>
      <c r="S80" s="207"/>
      <c r="T80" s="207"/>
      <c r="U80" s="207"/>
      <c r="V80" s="207"/>
      <c r="W80" s="207"/>
    </row>
    <row r="81" spans="1:23" ht="11.25" hidden="1" customHeight="1" x14ac:dyDescent="0.25">
      <c r="A81" s="942">
        <v>0</v>
      </c>
      <c r="B81" s="843"/>
      <c r="C81" s="2057"/>
      <c r="D81" s="2057"/>
      <c r="E81" s="2058"/>
      <c r="F81" s="2059"/>
      <c r="G81" s="2057"/>
      <c r="H81" s="2060"/>
      <c r="I81" s="2061"/>
      <c r="J81" s="2057"/>
      <c r="K81" s="2058"/>
      <c r="L81" s="206"/>
      <c r="M81" s="207"/>
      <c r="N81" s="207"/>
      <c r="O81" s="207"/>
      <c r="P81" s="207"/>
      <c r="Q81" s="207"/>
      <c r="R81" s="207"/>
      <c r="S81" s="207"/>
      <c r="T81" s="207"/>
      <c r="U81" s="207"/>
      <c r="V81" s="207"/>
      <c r="W81" s="207"/>
    </row>
    <row r="82" spans="1:23" ht="15" customHeight="1" x14ac:dyDescent="0.25">
      <c r="A82" s="941" t="s">
        <v>2381</v>
      </c>
      <c r="B82" s="843"/>
      <c r="C82" s="755">
        <v>492423.89</v>
      </c>
      <c r="D82" s="755">
        <v>21280</v>
      </c>
      <c r="E82" s="758">
        <v>15105</v>
      </c>
      <c r="F82" s="757">
        <v>12000</v>
      </c>
      <c r="G82" s="755">
        <v>12000</v>
      </c>
      <c r="H82" s="756">
        <v>12000</v>
      </c>
      <c r="I82" s="1930">
        <v>6000</v>
      </c>
      <c r="J82" s="755">
        <v>6360</v>
      </c>
      <c r="K82" s="758">
        <v>6741.6</v>
      </c>
      <c r="L82" s="206"/>
      <c r="M82" s="207"/>
      <c r="N82" s="207"/>
      <c r="O82" s="207"/>
      <c r="P82" s="207"/>
      <c r="Q82" s="207"/>
      <c r="R82" s="207"/>
      <c r="S82" s="207"/>
      <c r="T82" s="207"/>
      <c r="U82" s="207"/>
      <c r="V82" s="207"/>
      <c r="W82" s="207"/>
    </row>
    <row r="83" spans="1:23" ht="11.25" customHeight="1" x14ac:dyDescent="0.25">
      <c r="A83" s="942" t="s">
        <v>2336</v>
      </c>
      <c r="B83" s="843"/>
      <c r="C83" s="2057">
        <v>492423.89</v>
      </c>
      <c r="D83" s="2057">
        <v>21280</v>
      </c>
      <c r="E83" s="2058">
        <v>15105</v>
      </c>
      <c r="F83" s="2059">
        <v>12000</v>
      </c>
      <c r="G83" s="2057">
        <v>12000</v>
      </c>
      <c r="H83" s="2060">
        <v>12000</v>
      </c>
      <c r="I83" s="2061">
        <v>6000</v>
      </c>
      <c r="J83" s="2057">
        <v>6360</v>
      </c>
      <c r="K83" s="2058">
        <v>6741.6</v>
      </c>
      <c r="L83" s="206"/>
      <c r="M83" s="207"/>
      <c r="N83" s="207"/>
      <c r="O83" s="207"/>
      <c r="P83" s="207"/>
      <c r="Q83" s="207"/>
      <c r="R83" s="207"/>
      <c r="S83" s="207"/>
      <c r="T83" s="207"/>
      <c r="U83" s="207"/>
      <c r="V83" s="207"/>
      <c r="W83" s="207"/>
    </row>
    <row r="84" spans="1:23" ht="11.25" hidden="1" customHeight="1" x14ac:dyDescent="0.25">
      <c r="A84" s="942">
        <v>0</v>
      </c>
      <c r="B84" s="843"/>
      <c r="C84" s="2057"/>
      <c r="D84" s="2057"/>
      <c r="E84" s="2058"/>
      <c r="F84" s="2059"/>
      <c r="G84" s="2057"/>
      <c r="H84" s="2060"/>
      <c r="I84" s="2061"/>
      <c r="J84" s="2057"/>
      <c r="K84" s="2058"/>
      <c r="L84" s="206"/>
      <c r="M84" s="207"/>
      <c r="N84" s="207"/>
      <c r="O84" s="207"/>
      <c r="P84" s="207"/>
      <c r="Q84" s="207"/>
      <c r="R84" s="207"/>
      <c r="S84" s="207"/>
      <c r="T84" s="207"/>
      <c r="U84" s="207"/>
      <c r="V84" s="207"/>
      <c r="W84" s="207"/>
    </row>
    <row r="85" spans="1:23" ht="11.25" hidden="1" customHeight="1" x14ac:dyDescent="0.25">
      <c r="A85" s="942">
        <v>0</v>
      </c>
      <c r="B85" s="843"/>
      <c r="C85" s="2057"/>
      <c r="D85" s="2057"/>
      <c r="E85" s="2058"/>
      <c r="F85" s="2059"/>
      <c r="G85" s="2057"/>
      <c r="H85" s="2060"/>
      <c r="I85" s="2061"/>
      <c r="J85" s="2057"/>
      <c r="K85" s="2058"/>
      <c r="L85" s="206"/>
      <c r="M85" s="207"/>
      <c r="N85" s="207"/>
      <c r="O85" s="207"/>
      <c r="P85" s="207"/>
      <c r="Q85" s="207"/>
      <c r="R85" s="207"/>
      <c r="S85" s="207"/>
      <c r="T85" s="207"/>
      <c r="U85" s="207"/>
      <c r="V85" s="207"/>
      <c r="W85" s="207"/>
    </row>
    <row r="86" spans="1:23" ht="11.25" hidden="1" customHeight="1" x14ac:dyDescent="0.25">
      <c r="A86" s="942">
        <v>0</v>
      </c>
      <c r="B86" s="843"/>
      <c r="C86" s="2057"/>
      <c r="D86" s="2057"/>
      <c r="E86" s="2058"/>
      <c r="F86" s="2059"/>
      <c r="G86" s="2057"/>
      <c r="H86" s="2060"/>
      <c r="I86" s="2061"/>
      <c r="J86" s="2057"/>
      <c r="K86" s="2058"/>
      <c r="L86" s="206"/>
      <c r="M86" s="207"/>
      <c r="N86" s="207"/>
      <c r="O86" s="207"/>
      <c r="P86" s="207"/>
      <c r="Q86" s="207"/>
      <c r="R86" s="207"/>
      <c r="S86" s="207"/>
      <c r="T86" s="207"/>
      <c r="U86" s="207"/>
      <c r="V86" s="207"/>
      <c r="W86" s="207"/>
    </row>
    <row r="87" spans="1:23" ht="11.25" hidden="1" customHeight="1" x14ac:dyDescent="0.25">
      <c r="A87" s="942">
        <v>0</v>
      </c>
      <c r="B87" s="843"/>
      <c r="C87" s="2057"/>
      <c r="D87" s="2057"/>
      <c r="E87" s="2058"/>
      <c r="F87" s="2059"/>
      <c r="G87" s="2057"/>
      <c r="H87" s="2060"/>
      <c r="I87" s="2061"/>
      <c r="J87" s="2057"/>
      <c r="K87" s="2058"/>
      <c r="L87" s="206"/>
      <c r="M87" s="207"/>
      <c r="N87" s="207"/>
      <c r="O87" s="207"/>
      <c r="P87" s="207"/>
      <c r="Q87" s="207"/>
      <c r="R87" s="207"/>
      <c r="S87" s="207"/>
      <c r="T87" s="207"/>
      <c r="U87" s="207"/>
      <c r="V87" s="207"/>
      <c r="W87" s="207"/>
    </row>
    <row r="88" spans="1:23" ht="11.25" hidden="1" customHeight="1" x14ac:dyDescent="0.25">
      <c r="A88" s="942">
        <v>0</v>
      </c>
      <c r="B88" s="843"/>
      <c r="C88" s="2057"/>
      <c r="D88" s="2057"/>
      <c r="E88" s="2058"/>
      <c r="F88" s="2059"/>
      <c r="G88" s="2057"/>
      <c r="H88" s="2060"/>
      <c r="I88" s="2061"/>
      <c r="J88" s="2057"/>
      <c r="K88" s="2058"/>
      <c r="L88" s="206"/>
      <c r="M88" s="207"/>
      <c r="N88" s="207"/>
      <c r="O88" s="207"/>
      <c r="P88" s="207"/>
      <c r="Q88" s="207"/>
      <c r="R88" s="207"/>
      <c r="S88" s="207"/>
      <c r="T88" s="207"/>
      <c r="U88" s="207"/>
      <c r="V88" s="207"/>
      <c r="W88" s="207"/>
    </row>
    <row r="89" spans="1:23" ht="11.25" hidden="1" customHeight="1" x14ac:dyDescent="0.25">
      <c r="A89" s="942">
        <v>0</v>
      </c>
      <c r="B89" s="843"/>
      <c r="C89" s="2057"/>
      <c r="D89" s="2057"/>
      <c r="E89" s="2058"/>
      <c r="F89" s="2059"/>
      <c r="G89" s="2057"/>
      <c r="H89" s="2060"/>
      <c r="I89" s="2061"/>
      <c r="J89" s="2057"/>
      <c r="K89" s="2058"/>
      <c r="L89" s="206"/>
      <c r="M89" s="207"/>
      <c r="N89" s="207"/>
      <c r="O89" s="207"/>
      <c r="P89" s="207"/>
      <c r="Q89" s="207"/>
      <c r="R89" s="207"/>
      <c r="S89" s="207"/>
      <c r="T89" s="207"/>
      <c r="U89" s="207"/>
      <c r="V89" s="207"/>
      <c r="W89" s="207"/>
    </row>
    <row r="90" spans="1:23" ht="11.25" hidden="1" customHeight="1" x14ac:dyDescent="0.25">
      <c r="A90" s="942">
        <v>0</v>
      </c>
      <c r="B90" s="843"/>
      <c r="C90" s="2057"/>
      <c r="D90" s="2057"/>
      <c r="E90" s="2058"/>
      <c r="F90" s="2059"/>
      <c r="G90" s="2057"/>
      <c r="H90" s="2060"/>
      <c r="I90" s="2061"/>
      <c r="J90" s="2057"/>
      <c r="K90" s="2058"/>
      <c r="L90" s="206"/>
      <c r="M90" s="207"/>
      <c r="N90" s="207"/>
      <c r="O90" s="207"/>
      <c r="P90" s="207"/>
      <c r="Q90" s="207"/>
      <c r="R90" s="207"/>
      <c r="S90" s="207"/>
      <c r="T90" s="207"/>
      <c r="U90" s="207"/>
      <c r="V90" s="207"/>
      <c r="W90" s="207"/>
    </row>
    <row r="91" spans="1:23" ht="11.25" hidden="1" customHeight="1" x14ac:dyDescent="0.25">
      <c r="A91" s="942">
        <v>0</v>
      </c>
      <c r="B91" s="843"/>
      <c r="C91" s="2057"/>
      <c r="D91" s="2057"/>
      <c r="E91" s="2058"/>
      <c r="F91" s="2059"/>
      <c r="G91" s="2057"/>
      <c r="H91" s="2060"/>
      <c r="I91" s="2061"/>
      <c r="J91" s="2057"/>
      <c r="K91" s="2058"/>
      <c r="L91" s="206"/>
      <c r="M91" s="207"/>
      <c r="N91" s="207"/>
      <c r="O91" s="207"/>
      <c r="P91" s="207"/>
      <c r="Q91" s="207"/>
      <c r="R91" s="207"/>
      <c r="S91" s="207"/>
      <c r="T91" s="207"/>
      <c r="U91" s="207"/>
      <c r="V91" s="207"/>
      <c r="W91" s="207"/>
    </row>
    <row r="92" spans="1:23" ht="11.25" hidden="1" customHeight="1" x14ac:dyDescent="0.25">
      <c r="A92" s="942">
        <v>0</v>
      </c>
      <c r="B92" s="843"/>
      <c r="C92" s="2057"/>
      <c r="D92" s="2057"/>
      <c r="E92" s="2058"/>
      <c r="F92" s="2059"/>
      <c r="G92" s="2057"/>
      <c r="H92" s="2060"/>
      <c r="I92" s="2061"/>
      <c r="J92" s="2057"/>
      <c r="K92" s="2058"/>
      <c r="L92" s="206"/>
      <c r="M92" s="207"/>
      <c r="N92" s="207"/>
      <c r="O92" s="207"/>
      <c r="P92" s="207"/>
      <c r="Q92" s="207"/>
      <c r="R92" s="207"/>
      <c r="S92" s="207"/>
      <c r="T92" s="207"/>
      <c r="U92" s="207"/>
      <c r="V92" s="207"/>
      <c r="W92" s="207"/>
    </row>
    <row r="93" spans="1:23" ht="15" customHeight="1" x14ac:dyDescent="0.25">
      <c r="A93" s="941" t="s">
        <v>2382</v>
      </c>
      <c r="B93" s="843"/>
      <c r="C93" s="755">
        <v>4377778.3600000003</v>
      </c>
      <c r="D93" s="755">
        <v>3978824.9400000004</v>
      </c>
      <c r="E93" s="758">
        <v>5439052.1299999999</v>
      </c>
      <c r="F93" s="757">
        <v>4195866</v>
      </c>
      <c r="G93" s="755">
        <v>4224464</v>
      </c>
      <c r="H93" s="756">
        <v>4224464</v>
      </c>
      <c r="I93" s="1930">
        <v>7787632.0241599996</v>
      </c>
      <c r="J93" s="755">
        <v>8254889.9456096003</v>
      </c>
      <c r="K93" s="758">
        <v>8750183.3403461799</v>
      </c>
      <c r="L93" s="206"/>
      <c r="M93" s="207"/>
      <c r="N93" s="207"/>
      <c r="O93" s="207"/>
      <c r="P93" s="207"/>
      <c r="Q93" s="207"/>
      <c r="R93" s="207"/>
      <c r="S93" s="207"/>
      <c r="T93" s="207"/>
      <c r="U93" s="207"/>
      <c r="V93" s="207"/>
      <c r="W93" s="207"/>
    </row>
    <row r="94" spans="1:23" ht="11.25" customHeight="1" x14ac:dyDescent="0.25">
      <c r="A94" s="942" t="s">
        <v>2338</v>
      </c>
      <c r="B94" s="843"/>
      <c r="C94" s="2057">
        <v>2425440.75</v>
      </c>
      <c r="D94" s="2057">
        <v>1743265.68</v>
      </c>
      <c r="E94" s="2058">
        <v>3014392.27</v>
      </c>
      <c r="F94" s="2059">
        <v>1603001</v>
      </c>
      <c r="G94" s="2057">
        <v>1721599</v>
      </c>
      <c r="H94" s="2060">
        <v>1721599</v>
      </c>
      <c r="I94" s="2061">
        <v>4519265.4241599999</v>
      </c>
      <c r="J94" s="2057">
        <v>4790421.3496096004</v>
      </c>
      <c r="K94" s="2058">
        <v>5077846.6285861796</v>
      </c>
      <c r="L94" s="206"/>
      <c r="M94" s="207"/>
      <c r="N94" s="207"/>
      <c r="O94" s="207"/>
      <c r="P94" s="207"/>
      <c r="Q94" s="207"/>
      <c r="R94" s="207"/>
      <c r="S94" s="207"/>
      <c r="T94" s="207"/>
      <c r="U94" s="207"/>
      <c r="V94" s="207"/>
      <c r="W94" s="207"/>
    </row>
    <row r="95" spans="1:23" ht="11.25" customHeight="1" x14ac:dyDescent="0.25">
      <c r="A95" s="942" t="s">
        <v>2337</v>
      </c>
      <c r="B95" s="843"/>
      <c r="C95" s="2057">
        <v>1952337.61</v>
      </c>
      <c r="D95" s="2057">
        <v>2235559.2600000002</v>
      </c>
      <c r="E95" s="2058">
        <v>2424659.86</v>
      </c>
      <c r="F95" s="2059">
        <v>2592865</v>
      </c>
      <c r="G95" s="2057">
        <v>2502865</v>
      </c>
      <c r="H95" s="2060">
        <v>2502865</v>
      </c>
      <c r="I95" s="2061">
        <v>3268366.6</v>
      </c>
      <c r="J95" s="2057">
        <v>3464468.5959999999</v>
      </c>
      <c r="K95" s="2058">
        <v>3672336.7117599999</v>
      </c>
      <c r="L95" s="206"/>
      <c r="M95" s="207"/>
      <c r="N95" s="207"/>
      <c r="O95" s="207"/>
      <c r="P95" s="207"/>
      <c r="Q95" s="207"/>
      <c r="R95" s="207"/>
      <c r="S95" s="207"/>
      <c r="T95" s="207"/>
      <c r="U95" s="207"/>
      <c r="V95" s="207"/>
      <c r="W95" s="207"/>
    </row>
    <row r="96" spans="1:23" ht="11.25" hidden="1" customHeight="1" x14ac:dyDescent="0.25">
      <c r="A96" s="942">
        <v>0</v>
      </c>
      <c r="B96" s="843"/>
      <c r="C96" s="2057"/>
      <c r="D96" s="2057"/>
      <c r="E96" s="2058"/>
      <c r="F96" s="2059"/>
      <c r="G96" s="2057"/>
      <c r="H96" s="2060"/>
      <c r="I96" s="2061"/>
      <c r="J96" s="2057"/>
      <c r="K96" s="2058"/>
      <c r="L96" s="206"/>
      <c r="M96" s="207"/>
      <c r="N96" s="207"/>
      <c r="O96" s="207"/>
      <c r="P96" s="207"/>
      <c r="Q96" s="207"/>
      <c r="R96" s="207"/>
      <c r="S96" s="207"/>
      <c r="T96" s="207"/>
      <c r="U96" s="207"/>
      <c r="V96" s="207"/>
      <c r="W96" s="207"/>
    </row>
    <row r="97" spans="1:23" ht="11.25" hidden="1" customHeight="1" x14ac:dyDescent="0.25">
      <c r="A97" s="942">
        <v>0</v>
      </c>
      <c r="B97" s="843"/>
      <c r="C97" s="2057"/>
      <c r="D97" s="2057"/>
      <c r="E97" s="2058"/>
      <c r="F97" s="2059"/>
      <c r="G97" s="2057"/>
      <c r="H97" s="2060"/>
      <c r="I97" s="2061"/>
      <c r="J97" s="2057"/>
      <c r="K97" s="2058"/>
      <c r="L97" s="206"/>
      <c r="M97" s="207"/>
      <c r="N97" s="207"/>
      <c r="O97" s="207"/>
      <c r="P97" s="207"/>
      <c r="Q97" s="207"/>
      <c r="R97" s="207"/>
      <c r="S97" s="207"/>
      <c r="T97" s="207"/>
      <c r="U97" s="207"/>
      <c r="V97" s="207"/>
      <c r="W97" s="207"/>
    </row>
    <row r="98" spans="1:23" ht="11.25" hidden="1" customHeight="1" x14ac:dyDescent="0.25">
      <c r="A98" s="942">
        <v>0</v>
      </c>
      <c r="B98" s="843"/>
      <c r="C98" s="2057"/>
      <c r="D98" s="2057"/>
      <c r="E98" s="2058"/>
      <c r="F98" s="2059"/>
      <c r="G98" s="2057"/>
      <c r="H98" s="2060"/>
      <c r="I98" s="2061"/>
      <c r="J98" s="2057"/>
      <c r="K98" s="2058"/>
      <c r="L98" s="206"/>
      <c r="M98" s="207"/>
      <c r="N98" s="207"/>
      <c r="O98" s="207"/>
      <c r="P98" s="207"/>
      <c r="Q98" s="207"/>
      <c r="R98" s="207"/>
      <c r="S98" s="207"/>
      <c r="T98" s="207"/>
      <c r="U98" s="207"/>
      <c r="V98" s="207"/>
      <c r="W98" s="207"/>
    </row>
    <row r="99" spans="1:23" ht="11.25" hidden="1" customHeight="1" x14ac:dyDescent="0.25">
      <c r="A99" s="942">
        <v>0</v>
      </c>
      <c r="B99" s="843"/>
      <c r="C99" s="2057"/>
      <c r="D99" s="2057"/>
      <c r="E99" s="2058"/>
      <c r="F99" s="2059"/>
      <c r="G99" s="2057"/>
      <c r="H99" s="2060"/>
      <c r="I99" s="2061"/>
      <c r="J99" s="2057"/>
      <c r="K99" s="2058"/>
      <c r="L99" s="206"/>
      <c r="M99" s="207"/>
      <c r="N99" s="207"/>
      <c r="O99" s="207"/>
      <c r="P99" s="207"/>
      <c r="Q99" s="207"/>
      <c r="R99" s="207"/>
      <c r="S99" s="207"/>
      <c r="T99" s="207"/>
      <c r="U99" s="207"/>
      <c r="V99" s="207"/>
      <c r="W99" s="207"/>
    </row>
    <row r="100" spans="1:23" ht="11.25" hidden="1" customHeight="1" x14ac:dyDescent="0.25">
      <c r="A100" s="942">
        <v>0</v>
      </c>
      <c r="B100" s="843"/>
      <c r="C100" s="2057"/>
      <c r="D100" s="2057"/>
      <c r="E100" s="2058"/>
      <c r="F100" s="2059"/>
      <c r="G100" s="2057"/>
      <c r="H100" s="2060"/>
      <c r="I100" s="2061"/>
      <c r="J100" s="2057"/>
      <c r="K100" s="2058"/>
      <c r="L100" s="206"/>
      <c r="M100" s="207"/>
      <c r="N100" s="207"/>
      <c r="O100" s="207"/>
      <c r="P100" s="207"/>
      <c r="Q100" s="207"/>
      <c r="R100" s="207"/>
      <c r="S100" s="207"/>
      <c r="T100" s="207"/>
      <c r="U100" s="207"/>
      <c r="V100" s="207"/>
      <c r="W100" s="207"/>
    </row>
    <row r="101" spans="1:23" ht="11.25" hidden="1" customHeight="1" x14ac:dyDescent="0.25">
      <c r="A101" s="942">
        <v>0</v>
      </c>
      <c r="B101" s="843"/>
      <c r="C101" s="2057"/>
      <c r="D101" s="2057"/>
      <c r="E101" s="2058"/>
      <c r="F101" s="2059"/>
      <c r="G101" s="2057"/>
      <c r="H101" s="2060"/>
      <c r="I101" s="2061"/>
      <c r="J101" s="2057"/>
      <c r="K101" s="2058"/>
      <c r="L101" s="206"/>
      <c r="M101" s="207"/>
      <c r="N101" s="207"/>
      <c r="O101" s="207"/>
      <c r="P101" s="207"/>
      <c r="Q101" s="207"/>
      <c r="R101" s="207"/>
      <c r="S101" s="207"/>
      <c r="T101" s="207"/>
      <c r="U101" s="207"/>
      <c r="V101" s="207"/>
      <c r="W101" s="207"/>
    </row>
    <row r="102" spans="1:23" ht="11.25" hidden="1" customHeight="1" x14ac:dyDescent="0.25">
      <c r="A102" s="942">
        <v>0</v>
      </c>
      <c r="B102" s="843"/>
      <c r="C102" s="2057"/>
      <c r="D102" s="2057"/>
      <c r="E102" s="2058"/>
      <c r="F102" s="2059"/>
      <c r="G102" s="2057"/>
      <c r="H102" s="2060"/>
      <c r="I102" s="2061"/>
      <c r="J102" s="2057"/>
      <c r="K102" s="2058"/>
      <c r="L102" s="206"/>
      <c r="M102" s="207"/>
      <c r="N102" s="207"/>
      <c r="O102" s="207"/>
      <c r="P102" s="207"/>
      <c r="Q102" s="207"/>
      <c r="R102" s="207"/>
      <c r="S102" s="207"/>
      <c r="T102" s="207"/>
      <c r="U102" s="207"/>
      <c r="V102" s="207"/>
      <c r="W102" s="207"/>
    </row>
    <row r="103" spans="1:23" ht="11.25" hidden="1" customHeight="1" x14ac:dyDescent="0.25">
      <c r="A103" s="942">
        <v>0</v>
      </c>
      <c r="B103" s="843"/>
      <c r="C103" s="2057"/>
      <c r="D103" s="2057"/>
      <c r="E103" s="2058"/>
      <c r="F103" s="2059"/>
      <c r="G103" s="2057"/>
      <c r="H103" s="2060"/>
      <c r="I103" s="2061"/>
      <c r="J103" s="2057"/>
      <c r="K103" s="2058"/>
      <c r="L103" s="206"/>
      <c r="M103" s="207"/>
      <c r="N103" s="207"/>
      <c r="O103" s="207"/>
      <c r="P103" s="207"/>
      <c r="Q103" s="207"/>
      <c r="R103" s="207"/>
      <c r="S103" s="207"/>
      <c r="T103" s="207"/>
      <c r="U103" s="207"/>
      <c r="V103" s="207"/>
      <c r="W103" s="207"/>
    </row>
    <row r="104" spans="1:23" ht="15" customHeight="1" x14ac:dyDescent="0.25">
      <c r="A104" s="941" t="s">
        <v>2383</v>
      </c>
      <c r="B104" s="843"/>
      <c r="C104" s="755">
        <v>5453948.8199999994</v>
      </c>
      <c r="D104" s="755">
        <v>12280215.235000003</v>
      </c>
      <c r="E104" s="758">
        <v>4036733.3700000006</v>
      </c>
      <c r="F104" s="757">
        <v>2116520</v>
      </c>
      <c r="G104" s="755">
        <v>3485084</v>
      </c>
      <c r="H104" s="756">
        <v>3485084</v>
      </c>
      <c r="I104" s="1930">
        <v>3458423</v>
      </c>
      <c r="J104" s="755">
        <v>3665928.38</v>
      </c>
      <c r="K104" s="758">
        <v>3885884.0828</v>
      </c>
      <c r="L104" s="206"/>
      <c r="M104" s="207"/>
      <c r="N104" s="207"/>
      <c r="O104" s="207"/>
      <c r="P104" s="207"/>
      <c r="Q104" s="207"/>
      <c r="R104" s="207"/>
      <c r="S104" s="207"/>
      <c r="T104" s="207"/>
      <c r="U104" s="207"/>
      <c r="V104" s="207"/>
      <c r="W104" s="207"/>
    </row>
    <row r="105" spans="1:23" ht="11.25" customHeight="1" x14ac:dyDescent="0.25">
      <c r="A105" s="942" t="s">
        <v>2339</v>
      </c>
      <c r="B105" s="843"/>
      <c r="C105" s="2057">
        <v>5453948.8199999994</v>
      </c>
      <c r="D105" s="2057">
        <v>12280215.235000003</v>
      </c>
      <c r="E105" s="2058">
        <v>4036733.3700000006</v>
      </c>
      <c r="F105" s="2059">
        <v>2116520</v>
      </c>
      <c r="G105" s="2057">
        <v>3485084</v>
      </c>
      <c r="H105" s="2060">
        <v>3485084</v>
      </c>
      <c r="I105" s="2061">
        <v>3458423</v>
      </c>
      <c r="J105" s="2057">
        <v>3665928.38</v>
      </c>
      <c r="K105" s="2058">
        <v>3885884.0828</v>
      </c>
      <c r="L105" s="206"/>
      <c r="M105" s="207"/>
      <c r="N105" s="207"/>
      <c r="O105" s="207"/>
      <c r="P105" s="207"/>
      <c r="Q105" s="207"/>
      <c r="R105" s="207"/>
      <c r="S105" s="207"/>
      <c r="T105" s="207"/>
      <c r="U105" s="207"/>
      <c r="V105" s="207"/>
      <c r="W105" s="207"/>
    </row>
    <row r="106" spans="1:23" ht="11.25" hidden="1" customHeight="1" x14ac:dyDescent="0.25">
      <c r="A106" s="942">
        <v>0</v>
      </c>
      <c r="B106" s="843"/>
      <c r="C106" s="2057"/>
      <c r="D106" s="2057"/>
      <c r="E106" s="2058"/>
      <c r="F106" s="2059"/>
      <c r="G106" s="2057"/>
      <c r="H106" s="2060"/>
      <c r="I106" s="2061"/>
      <c r="J106" s="2057"/>
      <c r="K106" s="2058"/>
      <c r="L106" s="206"/>
      <c r="M106" s="207"/>
      <c r="N106" s="207"/>
      <c r="O106" s="207"/>
      <c r="P106" s="207"/>
      <c r="Q106" s="207"/>
      <c r="R106" s="207"/>
      <c r="S106" s="207"/>
      <c r="T106" s="207"/>
      <c r="U106" s="207"/>
      <c r="V106" s="207"/>
      <c r="W106" s="207"/>
    </row>
    <row r="107" spans="1:23" ht="11.25" hidden="1" customHeight="1" x14ac:dyDescent="0.25">
      <c r="A107" s="942">
        <v>0</v>
      </c>
      <c r="B107" s="843"/>
      <c r="C107" s="2057"/>
      <c r="D107" s="2057"/>
      <c r="E107" s="2058"/>
      <c r="F107" s="2059"/>
      <c r="G107" s="2057"/>
      <c r="H107" s="2060"/>
      <c r="I107" s="2061"/>
      <c r="J107" s="2057"/>
      <c r="K107" s="2058"/>
      <c r="L107" s="206"/>
      <c r="M107" s="207"/>
      <c r="N107" s="207"/>
      <c r="O107" s="207"/>
      <c r="P107" s="207"/>
      <c r="Q107" s="207"/>
      <c r="R107" s="207"/>
      <c r="S107" s="207"/>
      <c r="T107" s="207"/>
      <c r="U107" s="207"/>
      <c r="V107" s="207"/>
      <c r="W107" s="207"/>
    </row>
    <row r="108" spans="1:23" ht="11.25" hidden="1" customHeight="1" x14ac:dyDescent="0.25">
      <c r="A108" s="942">
        <v>0</v>
      </c>
      <c r="B108" s="843"/>
      <c r="C108" s="2057"/>
      <c r="D108" s="2057"/>
      <c r="E108" s="2058"/>
      <c r="F108" s="2059"/>
      <c r="G108" s="2057"/>
      <c r="H108" s="2060"/>
      <c r="I108" s="2061"/>
      <c r="J108" s="2057"/>
      <c r="K108" s="2058"/>
      <c r="L108" s="206"/>
      <c r="M108" s="207"/>
      <c r="N108" s="207"/>
      <c r="O108" s="207"/>
      <c r="P108" s="207"/>
      <c r="Q108" s="207"/>
      <c r="R108" s="207"/>
      <c r="S108" s="207"/>
      <c r="T108" s="207"/>
      <c r="U108" s="207"/>
      <c r="V108" s="207"/>
      <c r="W108" s="207"/>
    </row>
    <row r="109" spans="1:23" ht="11.25" hidden="1" customHeight="1" x14ac:dyDescent="0.25">
      <c r="A109" s="942">
        <v>0</v>
      </c>
      <c r="B109" s="843"/>
      <c r="C109" s="2057"/>
      <c r="D109" s="2057"/>
      <c r="E109" s="2058"/>
      <c r="F109" s="2059"/>
      <c r="G109" s="2057"/>
      <c r="H109" s="2060"/>
      <c r="I109" s="2061"/>
      <c r="J109" s="2057"/>
      <c r="K109" s="2058"/>
      <c r="L109" s="206"/>
      <c r="M109" s="207"/>
      <c r="N109" s="207"/>
      <c r="O109" s="207"/>
      <c r="P109" s="207"/>
      <c r="Q109" s="207"/>
      <c r="R109" s="207"/>
      <c r="S109" s="207"/>
      <c r="T109" s="207"/>
      <c r="U109" s="207"/>
      <c r="V109" s="207"/>
      <c r="W109" s="207"/>
    </row>
    <row r="110" spans="1:23" ht="11.25" hidden="1" customHeight="1" x14ac:dyDescent="0.25">
      <c r="A110" s="942">
        <v>0</v>
      </c>
      <c r="B110" s="843"/>
      <c r="C110" s="2057"/>
      <c r="D110" s="2057"/>
      <c r="E110" s="2058"/>
      <c r="F110" s="2059"/>
      <c r="G110" s="2057"/>
      <c r="H110" s="2060"/>
      <c r="I110" s="2061"/>
      <c r="J110" s="2057"/>
      <c r="K110" s="2058"/>
      <c r="L110" s="206"/>
      <c r="M110" s="207"/>
      <c r="N110" s="207"/>
      <c r="O110" s="207"/>
      <c r="P110" s="207"/>
      <c r="Q110" s="207"/>
      <c r="R110" s="207"/>
      <c r="S110" s="207"/>
      <c r="T110" s="207"/>
      <c r="U110" s="207"/>
      <c r="V110" s="207"/>
      <c r="W110" s="207"/>
    </row>
    <row r="111" spans="1:23" ht="11.25" hidden="1" customHeight="1" x14ac:dyDescent="0.25">
      <c r="A111" s="942">
        <v>0</v>
      </c>
      <c r="B111" s="843"/>
      <c r="C111" s="2057"/>
      <c r="D111" s="2057"/>
      <c r="E111" s="2058"/>
      <c r="F111" s="2059"/>
      <c r="G111" s="2057"/>
      <c r="H111" s="2060"/>
      <c r="I111" s="2061"/>
      <c r="J111" s="2057"/>
      <c r="K111" s="2058"/>
      <c r="L111" s="206"/>
      <c r="M111" s="207"/>
      <c r="N111" s="207"/>
      <c r="O111" s="207"/>
      <c r="P111" s="207"/>
      <c r="Q111" s="207"/>
      <c r="R111" s="207"/>
      <c r="S111" s="207"/>
      <c r="T111" s="207"/>
      <c r="U111" s="207"/>
      <c r="V111" s="207"/>
      <c r="W111" s="207"/>
    </row>
    <row r="112" spans="1:23" ht="11.25" hidden="1" customHeight="1" x14ac:dyDescent="0.25">
      <c r="A112" s="942">
        <v>0</v>
      </c>
      <c r="B112" s="843"/>
      <c r="C112" s="2057"/>
      <c r="D112" s="2057"/>
      <c r="E112" s="2058"/>
      <c r="F112" s="2059"/>
      <c r="G112" s="2057"/>
      <c r="H112" s="2060"/>
      <c r="I112" s="2061"/>
      <c r="J112" s="2057"/>
      <c r="K112" s="2058"/>
      <c r="L112" s="206"/>
      <c r="M112" s="207"/>
      <c r="N112" s="207"/>
      <c r="O112" s="207"/>
      <c r="P112" s="207"/>
      <c r="Q112" s="207"/>
      <c r="R112" s="207"/>
      <c r="S112" s="207"/>
      <c r="T112" s="207"/>
      <c r="U112" s="207"/>
      <c r="V112" s="207"/>
      <c r="W112" s="207"/>
    </row>
    <row r="113" spans="1:23" ht="11.25" hidden="1" customHeight="1" x14ac:dyDescent="0.25">
      <c r="A113" s="942">
        <v>0</v>
      </c>
      <c r="B113" s="843"/>
      <c r="C113" s="2057"/>
      <c r="D113" s="2057"/>
      <c r="E113" s="2058"/>
      <c r="F113" s="2059"/>
      <c r="G113" s="2057"/>
      <c r="H113" s="2060"/>
      <c r="I113" s="2061"/>
      <c r="J113" s="2057"/>
      <c r="K113" s="2058"/>
      <c r="L113" s="206"/>
      <c r="M113" s="207"/>
      <c r="N113" s="207"/>
      <c r="O113" s="207"/>
      <c r="P113" s="207"/>
      <c r="Q113" s="207"/>
      <c r="R113" s="207"/>
      <c r="S113" s="207"/>
      <c r="T113" s="207"/>
      <c r="U113" s="207"/>
      <c r="V113" s="207"/>
      <c r="W113" s="207"/>
    </row>
    <row r="114" spans="1:23" ht="11.25" hidden="1" customHeight="1" x14ac:dyDescent="0.25">
      <c r="A114" s="942">
        <v>0</v>
      </c>
      <c r="B114" s="843"/>
      <c r="C114" s="2057"/>
      <c r="D114" s="2057"/>
      <c r="E114" s="2058"/>
      <c r="F114" s="2059"/>
      <c r="G114" s="2057"/>
      <c r="H114" s="2060"/>
      <c r="I114" s="2061"/>
      <c r="J114" s="2057"/>
      <c r="K114" s="2058"/>
      <c r="L114" s="206"/>
      <c r="M114" s="207"/>
      <c r="N114" s="207"/>
      <c r="O114" s="207"/>
      <c r="P114" s="207"/>
      <c r="Q114" s="207"/>
      <c r="R114" s="207"/>
      <c r="S114" s="207"/>
      <c r="T114" s="207"/>
      <c r="U114" s="207"/>
      <c r="V114" s="207"/>
      <c r="W114" s="207"/>
    </row>
    <row r="115" spans="1:23" ht="15" hidden="1" customHeight="1" x14ac:dyDescent="0.25">
      <c r="A115" s="1683" t="s">
        <v>2492</v>
      </c>
      <c r="B115" s="843"/>
      <c r="C115" s="755">
        <v>0</v>
      </c>
      <c r="D115" s="755">
        <v>0</v>
      </c>
      <c r="E115" s="758">
        <v>0</v>
      </c>
      <c r="F115" s="757">
        <v>0</v>
      </c>
      <c r="G115" s="755">
        <v>0</v>
      </c>
      <c r="H115" s="756">
        <v>0</v>
      </c>
      <c r="I115" s="1930">
        <v>0</v>
      </c>
      <c r="J115" s="755">
        <v>0</v>
      </c>
      <c r="K115" s="758">
        <v>0</v>
      </c>
      <c r="L115" s="206"/>
      <c r="M115" s="207"/>
      <c r="N115" s="207"/>
      <c r="O115" s="207"/>
      <c r="P115" s="207"/>
      <c r="Q115" s="207"/>
      <c r="R115" s="207"/>
      <c r="S115" s="207"/>
      <c r="T115" s="207"/>
      <c r="U115" s="207"/>
      <c r="V115" s="207"/>
      <c r="W115" s="207"/>
    </row>
    <row r="116" spans="1:23" ht="11.25" hidden="1" customHeight="1" x14ac:dyDescent="0.25">
      <c r="A116" s="942" t="s">
        <v>2035</v>
      </c>
      <c r="B116" s="843"/>
      <c r="C116" s="2057"/>
      <c r="D116" s="2057"/>
      <c r="E116" s="2058"/>
      <c r="F116" s="2059"/>
      <c r="G116" s="2057"/>
      <c r="H116" s="2060"/>
      <c r="I116" s="2061"/>
      <c r="J116" s="2057"/>
      <c r="K116" s="2058"/>
      <c r="L116" s="206"/>
      <c r="M116" s="207"/>
      <c r="N116" s="207"/>
      <c r="O116" s="207"/>
      <c r="P116" s="207"/>
      <c r="Q116" s="207"/>
      <c r="R116" s="207"/>
      <c r="S116" s="207"/>
      <c r="T116" s="207"/>
      <c r="U116" s="207"/>
      <c r="V116" s="207"/>
      <c r="W116" s="207"/>
    </row>
    <row r="117" spans="1:23" ht="11.25" hidden="1" customHeight="1" x14ac:dyDescent="0.25">
      <c r="A117" s="942">
        <v>0</v>
      </c>
      <c r="B117" s="843"/>
      <c r="C117" s="2057"/>
      <c r="D117" s="2057"/>
      <c r="E117" s="2058"/>
      <c r="F117" s="2059"/>
      <c r="G117" s="2057"/>
      <c r="H117" s="2060"/>
      <c r="I117" s="2061"/>
      <c r="J117" s="2057"/>
      <c r="K117" s="2058"/>
      <c r="L117" s="206"/>
      <c r="M117" s="207"/>
      <c r="N117" s="207"/>
      <c r="O117" s="207"/>
      <c r="P117" s="207"/>
      <c r="Q117" s="207"/>
      <c r="R117" s="207"/>
      <c r="S117" s="207"/>
      <c r="T117" s="207"/>
      <c r="U117" s="207"/>
      <c r="V117" s="207"/>
      <c r="W117" s="207"/>
    </row>
    <row r="118" spans="1:23" ht="11.25" hidden="1" customHeight="1" x14ac:dyDescent="0.25">
      <c r="A118" s="942">
        <v>0</v>
      </c>
      <c r="B118" s="843"/>
      <c r="C118" s="2057"/>
      <c r="D118" s="2057"/>
      <c r="E118" s="2058"/>
      <c r="F118" s="2059"/>
      <c r="G118" s="2057"/>
      <c r="H118" s="2060"/>
      <c r="I118" s="2061"/>
      <c r="J118" s="2057"/>
      <c r="K118" s="2058"/>
      <c r="L118" s="206"/>
      <c r="M118" s="207"/>
      <c r="N118" s="207"/>
      <c r="O118" s="207"/>
      <c r="P118" s="207"/>
      <c r="Q118" s="207"/>
      <c r="R118" s="207"/>
      <c r="S118" s="207"/>
      <c r="T118" s="207"/>
      <c r="U118" s="207"/>
      <c r="V118" s="207"/>
      <c r="W118" s="207"/>
    </row>
    <row r="119" spans="1:23" ht="11.25" hidden="1" customHeight="1" x14ac:dyDescent="0.25">
      <c r="A119" s="942">
        <v>0</v>
      </c>
      <c r="B119" s="843"/>
      <c r="C119" s="2057"/>
      <c r="D119" s="2057"/>
      <c r="E119" s="2058"/>
      <c r="F119" s="2059"/>
      <c r="G119" s="2057"/>
      <c r="H119" s="2060"/>
      <c r="I119" s="2061"/>
      <c r="J119" s="2057"/>
      <c r="K119" s="2058"/>
      <c r="L119" s="206"/>
      <c r="M119" s="207"/>
      <c r="N119" s="207"/>
      <c r="O119" s="207"/>
      <c r="P119" s="207"/>
      <c r="Q119" s="207"/>
      <c r="R119" s="207"/>
      <c r="S119" s="207"/>
      <c r="T119" s="207"/>
      <c r="U119" s="207"/>
      <c r="V119" s="207"/>
      <c r="W119" s="207"/>
    </row>
    <row r="120" spans="1:23" ht="11.25" hidden="1" customHeight="1" x14ac:dyDescent="0.25">
      <c r="A120" s="942">
        <v>0</v>
      </c>
      <c r="B120" s="843"/>
      <c r="C120" s="2057"/>
      <c r="D120" s="2057"/>
      <c r="E120" s="2058"/>
      <c r="F120" s="2059"/>
      <c r="G120" s="2057"/>
      <c r="H120" s="2060"/>
      <c r="I120" s="2061"/>
      <c r="J120" s="2057"/>
      <c r="K120" s="2058"/>
      <c r="L120" s="206"/>
      <c r="M120" s="207"/>
      <c r="N120" s="207"/>
      <c r="O120" s="207"/>
      <c r="P120" s="207"/>
      <c r="Q120" s="207"/>
      <c r="R120" s="207"/>
      <c r="S120" s="207"/>
      <c r="T120" s="207"/>
      <c r="U120" s="207"/>
      <c r="V120" s="207"/>
      <c r="W120" s="207"/>
    </row>
    <row r="121" spans="1:23" ht="11.25" hidden="1" customHeight="1" x14ac:dyDescent="0.25">
      <c r="A121" s="942">
        <v>0</v>
      </c>
      <c r="B121" s="843"/>
      <c r="C121" s="2057"/>
      <c r="D121" s="2057"/>
      <c r="E121" s="2058"/>
      <c r="F121" s="2059"/>
      <c r="G121" s="2057"/>
      <c r="H121" s="2060"/>
      <c r="I121" s="2061"/>
      <c r="J121" s="2057"/>
      <c r="K121" s="2058"/>
      <c r="L121" s="206"/>
      <c r="M121" s="207"/>
      <c r="N121" s="207"/>
      <c r="O121" s="207"/>
      <c r="P121" s="207"/>
      <c r="Q121" s="207"/>
      <c r="R121" s="207"/>
      <c r="S121" s="207"/>
      <c r="T121" s="207"/>
      <c r="U121" s="207"/>
      <c r="V121" s="207"/>
      <c r="W121" s="207"/>
    </row>
    <row r="122" spans="1:23" ht="11.25" hidden="1" customHeight="1" x14ac:dyDescent="0.25">
      <c r="A122" s="942">
        <v>0</v>
      </c>
      <c r="B122" s="843"/>
      <c r="C122" s="2057"/>
      <c r="D122" s="2057"/>
      <c r="E122" s="2058"/>
      <c r="F122" s="2059"/>
      <c r="G122" s="2057"/>
      <c r="H122" s="2060"/>
      <c r="I122" s="2061"/>
      <c r="J122" s="2057"/>
      <c r="K122" s="2058"/>
      <c r="L122" s="206"/>
      <c r="M122" s="207"/>
      <c r="N122" s="207"/>
      <c r="O122" s="207"/>
      <c r="P122" s="207"/>
      <c r="Q122" s="207"/>
      <c r="R122" s="207"/>
      <c r="S122" s="207"/>
      <c r="T122" s="207"/>
      <c r="U122" s="207"/>
      <c r="V122" s="207"/>
      <c r="W122" s="207"/>
    </row>
    <row r="123" spans="1:23" ht="11.25" hidden="1" customHeight="1" x14ac:dyDescent="0.25">
      <c r="A123" s="942">
        <v>0</v>
      </c>
      <c r="B123" s="843"/>
      <c r="C123" s="2057"/>
      <c r="D123" s="2057"/>
      <c r="E123" s="2058"/>
      <c r="F123" s="2059"/>
      <c r="G123" s="2057"/>
      <c r="H123" s="2060"/>
      <c r="I123" s="2061"/>
      <c r="J123" s="2057"/>
      <c r="K123" s="2058"/>
      <c r="L123" s="206"/>
      <c r="M123" s="207"/>
      <c r="N123" s="207"/>
      <c r="O123" s="207"/>
      <c r="P123" s="207"/>
      <c r="Q123" s="207"/>
      <c r="R123" s="207"/>
      <c r="S123" s="207"/>
      <c r="T123" s="207"/>
      <c r="U123" s="207"/>
      <c r="V123" s="207"/>
      <c r="W123" s="207"/>
    </row>
    <row r="124" spans="1:23" ht="11.25" hidden="1" customHeight="1" x14ac:dyDescent="0.25">
      <c r="A124" s="942">
        <v>0</v>
      </c>
      <c r="B124" s="843"/>
      <c r="C124" s="2057"/>
      <c r="D124" s="2057"/>
      <c r="E124" s="2058"/>
      <c r="F124" s="2059"/>
      <c r="G124" s="2057"/>
      <c r="H124" s="2060"/>
      <c r="I124" s="2061"/>
      <c r="J124" s="2057"/>
      <c r="K124" s="2058"/>
      <c r="L124" s="206"/>
      <c r="M124" s="207"/>
      <c r="N124" s="207"/>
      <c r="O124" s="207"/>
      <c r="P124" s="207"/>
      <c r="Q124" s="207"/>
      <c r="R124" s="207"/>
      <c r="S124" s="207"/>
      <c r="T124" s="207"/>
      <c r="U124" s="207"/>
      <c r="V124" s="207"/>
      <c r="W124" s="207"/>
    </row>
    <row r="125" spans="1:23" ht="11.25" hidden="1" customHeight="1" x14ac:dyDescent="0.25">
      <c r="A125" s="942">
        <v>0</v>
      </c>
      <c r="B125" s="843"/>
      <c r="C125" s="2057"/>
      <c r="D125" s="2057"/>
      <c r="E125" s="2058"/>
      <c r="F125" s="2059"/>
      <c r="G125" s="2057"/>
      <c r="H125" s="2060"/>
      <c r="I125" s="2061"/>
      <c r="J125" s="2057"/>
      <c r="K125" s="2058"/>
      <c r="L125" s="206"/>
      <c r="M125" s="207"/>
      <c r="N125" s="207"/>
      <c r="O125" s="207"/>
      <c r="P125" s="207"/>
      <c r="Q125" s="207"/>
      <c r="R125" s="207"/>
      <c r="S125" s="207"/>
      <c r="T125" s="207"/>
      <c r="U125" s="207"/>
      <c r="V125" s="207"/>
      <c r="W125" s="207"/>
    </row>
    <row r="126" spans="1:23" ht="15" hidden="1" customHeight="1" x14ac:dyDescent="0.25">
      <c r="A126" s="1683" t="s">
        <v>2493</v>
      </c>
      <c r="B126" s="843"/>
      <c r="C126" s="755">
        <v>0</v>
      </c>
      <c r="D126" s="755">
        <v>0</v>
      </c>
      <c r="E126" s="758">
        <v>0</v>
      </c>
      <c r="F126" s="757">
        <v>0</v>
      </c>
      <c r="G126" s="755">
        <v>0</v>
      </c>
      <c r="H126" s="756">
        <v>0</v>
      </c>
      <c r="I126" s="1930">
        <v>0</v>
      </c>
      <c r="J126" s="755">
        <v>0</v>
      </c>
      <c r="K126" s="758">
        <v>0</v>
      </c>
      <c r="L126" s="206"/>
      <c r="M126" s="207"/>
      <c r="N126" s="207"/>
      <c r="O126" s="207"/>
      <c r="P126" s="207"/>
      <c r="Q126" s="207"/>
      <c r="R126" s="207"/>
      <c r="S126" s="207"/>
      <c r="T126" s="207"/>
      <c r="U126" s="207"/>
      <c r="V126" s="207"/>
      <c r="W126" s="207"/>
    </row>
    <row r="127" spans="1:23" ht="11.25" hidden="1" customHeight="1" x14ac:dyDescent="0.25">
      <c r="A127" s="942" t="s">
        <v>2036</v>
      </c>
      <c r="B127" s="843"/>
      <c r="C127" s="2057"/>
      <c r="D127" s="2057"/>
      <c r="E127" s="2058"/>
      <c r="F127" s="2059"/>
      <c r="G127" s="2057"/>
      <c r="H127" s="2060"/>
      <c r="I127" s="2061"/>
      <c r="J127" s="2057"/>
      <c r="K127" s="2058"/>
      <c r="L127" s="206"/>
      <c r="M127" s="207"/>
      <c r="N127" s="207"/>
      <c r="O127" s="207"/>
      <c r="P127" s="207"/>
      <c r="Q127" s="207"/>
      <c r="R127" s="207"/>
      <c r="S127" s="207"/>
      <c r="T127" s="207"/>
      <c r="U127" s="207"/>
      <c r="V127" s="207"/>
      <c r="W127" s="207"/>
    </row>
    <row r="128" spans="1:23" ht="11.25" hidden="1" customHeight="1" x14ac:dyDescent="0.25">
      <c r="A128" s="942">
        <v>0</v>
      </c>
      <c r="B128" s="843"/>
      <c r="C128" s="2057"/>
      <c r="D128" s="2057"/>
      <c r="E128" s="2058"/>
      <c r="F128" s="2059"/>
      <c r="G128" s="2057"/>
      <c r="H128" s="2060"/>
      <c r="I128" s="2061"/>
      <c r="J128" s="2057"/>
      <c r="K128" s="2058"/>
      <c r="L128" s="206"/>
      <c r="M128" s="207"/>
      <c r="N128" s="207"/>
      <c r="O128" s="207"/>
      <c r="P128" s="207"/>
      <c r="Q128" s="207"/>
      <c r="R128" s="207"/>
      <c r="S128" s="207"/>
      <c r="T128" s="207"/>
      <c r="U128" s="207"/>
      <c r="V128" s="207"/>
      <c r="W128" s="207"/>
    </row>
    <row r="129" spans="1:23" ht="11.25" hidden="1" customHeight="1" x14ac:dyDescent="0.25">
      <c r="A129" s="942">
        <v>0</v>
      </c>
      <c r="B129" s="843"/>
      <c r="C129" s="2057"/>
      <c r="D129" s="2057"/>
      <c r="E129" s="2058"/>
      <c r="F129" s="2059"/>
      <c r="G129" s="2057"/>
      <c r="H129" s="2060"/>
      <c r="I129" s="2061"/>
      <c r="J129" s="2057"/>
      <c r="K129" s="2058"/>
      <c r="L129" s="206"/>
      <c r="M129" s="207"/>
      <c r="N129" s="207"/>
      <c r="O129" s="207"/>
      <c r="P129" s="207"/>
      <c r="Q129" s="207"/>
      <c r="R129" s="207"/>
      <c r="S129" s="207"/>
      <c r="T129" s="207"/>
      <c r="U129" s="207"/>
      <c r="V129" s="207"/>
      <c r="W129" s="207"/>
    </row>
    <row r="130" spans="1:23" ht="11.25" hidden="1" customHeight="1" x14ac:dyDescent="0.25">
      <c r="A130" s="942">
        <v>0</v>
      </c>
      <c r="B130" s="843"/>
      <c r="C130" s="2057"/>
      <c r="D130" s="2057"/>
      <c r="E130" s="2058"/>
      <c r="F130" s="2059"/>
      <c r="G130" s="2057"/>
      <c r="H130" s="2060"/>
      <c r="I130" s="2061"/>
      <c r="J130" s="2057"/>
      <c r="K130" s="2058"/>
      <c r="L130" s="206"/>
      <c r="M130" s="207"/>
      <c r="N130" s="207"/>
      <c r="O130" s="207"/>
      <c r="P130" s="207"/>
      <c r="Q130" s="207"/>
      <c r="R130" s="207"/>
      <c r="S130" s="207"/>
      <c r="T130" s="207"/>
      <c r="U130" s="207"/>
      <c r="V130" s="207"/>
      <c r="W130" s="207"/>
    </row>
    <row r="131" spans="1:23" ht="11.25" hidden="1" customHeight="1" x14ac:dyDescent="0.25">
      <c r="A131" s="942">
        <v>0</v>
      </c>
      <c r="B131" s="843"/>
      <c r="C131" s="2057"/>
      <c r="D131" s="2057"/>
      <c r="E131" s="2058"/>
      <c r="F131" s="2059"/>
      <c r="G131" s="2057"/>
      <c r="H131" s="2060"/>
      <c r="I131" s="2061"/>
      <c r="J131" s="2057"/>
      <c r="K131" s="2058"/>
      <c r="L131" s="206"/>
      <c r="M131" s="207"/>
      <c r="N131" s="207"/>
      <c r="O131" s="207"/>
      <c r="P131" s="207"/>
      <c r="Q131" s="207"/>
      <c r="R131" s="207"/>
      <c r="S131" s="207"/>
      <c r="T131" s="207"/>
      <c r="U131" s="207"/>
      <c r="V131" s="207"/>
      <c r="W131" s="207"/>
    </row>
    <row r="132" spans="1:23" ht="11.25" hidden="1" customHeight="1" x14ac:dyDescent="0.25">
      <c r="A132" s="942">
        <v>0</v>
      </c>
      <c r="B132" s="843"/>
      <c r="C132" s="2057"/>
      <c r="D132" s="2057"/>
      <c r="E132" s="2058"/>
      <c r="F132" s="2059"/>
      <c r="G132" s="2057"/>
      <c r="H132" s="2060"/>
      <c r="I132" s="2061"/>
      <c r="J132" s="2057"/>
      <c r="K132" s="2058"/>
      <c r="L132" s="206"/>
      <c r="M132" s="207"/>
      <c r="N132" s="207"/>
      <c r="O132" s="207"/>
      <c r="P132" s="207"/>
      <c r="Q132" s="207"/>
      <c r="R132" s="207"/>
      <c r="S132" s="207"/>
      <c r="T132" s="207"/>
      <c r="U132" s="207"/>
      <c r="V132" s="207"/>
      <c r="W132" s="207"/>
    </row>
    <row r="133" spans="1:23" ht="11.25" hidden="1" customHeight="1" x14ac:dyDescent="0.25">
      <c r="A133" s="942">
        <v>0</v>
      </c>
      <c r="B133" s="843"/>
      <c r="C133" s="2057"/>
      <c r="D133" s="2057"/>
      <c r="E133" s="2058"/>
      <c r="F133" s="2059"/>
      <c r="G133" s="2057"/>
      <c r="H133" s="2060"/>
      <c r="I133" s="2061"/>
      <c r="J133" s="2057"/>
      <c r="K133" s="2058"/>
      <c r="L133" s="206"/>
      <c r="M133" s="207"/>
      <c r="N133" s="207"/>
      <c r="O133" s="207"/>
      <c r="P133" s="207"/>
      <c r="Q133" s="207"/>
      <c r="R133" s="207"/>
      <c r="S133" s="207"/>
      <c r="T133" s="207"/>
      <c r="U133" s="207"/>
      <c r="V133" s="207"/>
      <c r="W133" s="207"/>
    </row>
    <row r="134" spans="1:23" ht="11.25" hidden="1" customHeight="1" x14ac:dyDescent="0.25">
      <c r="A134" s="942">
        <v>0</v>
      </c>
      <c r="B134" s="843"/>
      <c r="C134" s="2057"/>
      <c r="D134" s="2057"/>
      <c r="E134" s="2058"/>
      <c r="F134" s="2059"/>
      <c r="G134" s="2057"/>
      <c r="H134" s="2060"/>
      <c r="I134" s="2061"/>
      <c r="J134" s="2057"/>
      <c r="K134" s="2058"/>
      <c r="L134" s="206"/>
      <c r="M134" s="207"/>
      <c r="N134" s="207"/>
      <c r="O134" s="207"/>
      <c r="P134" s="207"/>
      <c r="Q134" s="207"/>
      <c r="R134" s="207"/>
      <c r="S134" s="207"/>
      <c r="T134" s="207"/>
      <c r="U134" s="207"/>
      <c r="V134" s="207"/>
      <c r="W134" s="207"/>
    </row>
    <row r="135" spans="1:23" ht="11.25" hidden="1" customHeight="1" x14ac:dyDescent="0.25">
      <c r="A135" s="942">
        <v>0</v>
      </c>
      <c r="B135" s="843"/>
      <c r="C135" s="2057"/>
      <c r="D135" s="2057"/>
      <c r="E135" s="2058"/>
      <c r="F135" s="2059"/>
      <c r="G135" s="2057"/>
      <c r="H135" s="2060"/>
      <c r="I135" s="2061"/>
      <c r="J135" s="2057"/>
      <c r="K135" s="2058"/>
      <c r="L135" s="206"/>
      <c r="M135" s="207"/>
      <c r="N135" s="207"/>
      <c r="O135" s="207"/>
      <c r="P135" s="207"/>
      <c r="Q135" s="207"/>
      <c r="R135" s="207"/>
      <c r="S135" s="207"/>
      <c r="T135" s="207"/>
      <c r="U135" s="207"/>
      <c r="V135" s="207"/>
      <c r="W135" s="207"/>
    </row>
    <row r="136" spans="1:23" ht="11.25" hidden="1" customHeight="1" x14ac:dyDescent="0.25">
      <c r="A136" s="942">
        <v>0</v>
      </c>
      <c r="B136" s="843"/>
      <c r="C136" s="2057"/>
      <c r="D136" s="2057"/>
      <c r="E136" s="2058"/>
      <c r="F136" s="2059"/>
      <c r="G136" s="2057"/>
      <c r="H136" s="2060"/>
      <c r="I136" s="2061"/>
      <c r="J136" s="2057"/>
      <c r="K136" s="2058"/>
      <c r="L136" s="206"/>
      <c r="M136" s="207"/>
      <c r="N136" s="207"/>
      <c r="O136" s="207"/>
      <c r="P136" s="207"/>
      <c r="Q136" s="207"/>
      <c r="R136" s="207"/>
      <c r="S136" s="207"/>
      <c r="T136" s="207"/>
      <c r="U136" s="207"/>
      <c r="V136" s="207"/>
      <c r="W136" s="207"/>
    </row>
    <row r="137" spans="1:23" ht="15" hidden="1" customHeight="1" x14ac:dyDescent="0.25">
      <c r="A137" s="1683" t="s">
        <v>2494</v>
      </c>
      <c r="B137" s="843"/>
      <c r="C137" s="755">
        <v>0</v>
      </c>
      <c r="D137" s="755">
        <v>0</v>
      </c>
      <c r="E137" s="758">
        <v>0</v>
      </c>
      <c r="F137" s="757">
        <v>0</v>
      </c>
      <c r="G137" s="755">
        <v>0</v>
      </c>
      <c r="H137" s="756">
        <v>0</v>
      </c>
      <c r="I137" s="1930">
        <v>0</v>
      </c>
      <c r="J137" s="755">
        <v>0</v>
      </c>
      <c r="K137" s="758">
        <v>0</v>
      </c>
      <c r="L137" s="206"/>
      <c r="M137" s="207"/>
      <c r="N137" s="207"/>
      <c r="O137" s="207"/>
      <c r="P137" s="207"/>
      <c r="Q137" s="207"/>
      <c r="R137" s="207"/>
      <c r="S137" s="207"/>
      <c r="T137" s="207"/>
      <c r="U137" s="207"/>
      <c r="V137" s="207"/>
      <c r="W137" s="207"/>
    </row>
    <row r="138" spans="1:23" ht="11.25" hidden="1" customHeight="1" x14ac:dyDescent="0.25">
      <c r="A138" s="942" t="s">
        <v>2037</v>
      </c>
      <c r="B138" s="843"/>
      <c r="C138" s="2057"/>
      <c r="D138" s="2057"/>
      <c r="E138" s="2058"/>
      <c r="F138" s="2059"/>
      <c r="G138" s="2057"/>
      <c r="H138" s="2060"/>
      <c r="I138" s="2061"/>
      <c r="J138" s="2057"/>
      <c r="K138" s="2058"/>
      <c r="L138" s="206"/>
      <c r="M138" s="207"/>
      <c r="N138" s="207"/>
      <c r="O138" s="207"/>
      <c r="P138" s="207"/>
      <c r="Q138" s="207"/>
      <c r="R138" s="207"/>
      <c r="S138" s="207"/>
      <c r="T138" s="207"/>
      <c r="U138" s="207"/>
      <c r="V138" s="207"/>
      <c r="W138" s="207"/>
    </row>
    <row r="139" spans="1:23" ht="11.25" hidden="1" customHeight="1" x14ac:dyDescent="0.25">
      <c r="A139" s="942">
        <v>0</v>
      </c>
      <c r="B139" s="843"/>
      <c r="C139" s="2057"/>
      <c r="D139" s="2057"/>
      <c r="E139" s="2058"/>
      <c r="F139" s="2059"/>
      <c r="G139" s="2057"/>
      <c r="H139" s="2060"/>
      <c r="I139" s="2061"/>
      <c r="J139" s="2057"/>
      <c r="K139" s="2058"/>
      <c r="L139" s="206"/>
      <c r="M139" s="207"/>
      <c r="N139" s="207"/>
      <c r="O139" s="207"/>
      <c r="P139" s="207"/>
      <c r="Q139" s="207"/>
      <c r="R139" s="207"/>
      <c r="S139" s="207"/>
      <c r="T139" s="207"/>
      <c r="U139" s="207"/>
      <c r="V139" s="207"/>
      <c r="W139" s="207"/>
    </row>
    <row r="140" spans="1:23" ht="11.25" hidden="1" customHeight="1" x14ac:dyDescent="0.25">
      <c r="A140" s="942">
        <v>0</v>
      </c>
      <c r="B140" s="843"/>
      <c r="C140" s="2057"/>
      <c r="D140" s="2057"/>
      <c r="E140" s="2058"/>
      <c r="F140" s="2059"/>
      <c r="G140" s="2057"/>
      <c r="H140" s="2060"/>
      <c r="I140" s="2061"/>
      <c r="J140" s="2057"/>
      <c r="K140" s="2058"/>
      <c r="L140" s="206"/>
      <c r="M140" s="207"/>
      <c r="N140" s="207"/>
      <c r="O140" s="207"/>
      <c r="P140" s="207"/>
      <c r="Q140" s="207"/>
      <c r="R140" s="207"/>
      <c r="S140" s="207"/>
      <c r="T140" s="207"/>
      <c r="U140" s="207"/>
      <c r="V140" s="207"/>
      <c r="W140" s="207"/>
    </row>
    <row r="141" spans="1:23" ht="11.25" hidden="1" customHeight="1" x14ac:dyDescent="0.25">
      <c r="A141" s="942">
        <v>0</v>
      </c>
      <c r="B141" s="843"/>
      <c r="C141" s="2057"/>
      <c r="D141" s="2057"/>
      <c r="E141" s="2058"/>
      <c r="F141" s="2059"/>
      <c r="G141" s="2057"/>
      <c r="H141" s="2060"/>
      <c r="I141" s="2061"/>
      <c r="J141" s="2057"/>
      <c r="K141" s="2058"/>
      <c r="L141" s="206"/>
      <c r="M141" s="207"/>
      <c r="N141" s="207"/>
      <c r="O141" s="207"/>
      <c r="P141" s="207"/>
      <c r="Q141" s="207"/>
      <c r="R141" s="207"/>
      <c r="S141" s="207"/>
      <c r="T141" s="207"/>
      <c r="U141" s="207"/>
      <c r="V141" s="207"/>
      <c r="W141" s="207"/>
    </row>
    <row r="142" spans="1:23" ht="11.25" hidden="1" customHeight="1" x14ac:dyDescent="0.25">
      <c r="A142" s="942">
        <v>0</v>
      </c>
      <c r="B142" s="843"/>
      <c r="C142" s="2057"/>
      <c r="D142" s="2057"/>
      <c r="E142" s="2058"/>
      <c r="F142" s="2059"/>
      <c r="G142" s="2057"/>
      <c r="H142" s="2060"/>
      <c r="I142" s="2061"/>
      <c r="J142" s="2057"/>
      <c r="K142" s="2058"/>
      <c r="L142" s="206"/>
      <c r="M142" s="207"/>
      <c r="N142" s="207"/>
      <c r="O142" s="207"/>
      <c r="P142" s="207"/>
      <c r="Q142" s="207"/>
      <c r="R142" s="207"/>
      <c r="S142" s="207"/>
      <c r="T142" s="207"/>
      <c r="U142" s="207"/>
      <c r="V142" s="207"/>
      <c r="W142" s="207"/>
    </row>
    <row r="143" spans="1:23" ht="11.25" hidden="1" customHeight="1" x14ac:dyDescent="0.25">
      <c r="A143" s="942">
        <v>0</v>
      </c>
      <c r="B143" s="843"/>
      <c r="C143" s="2057"/>
      <c r="D143" s="2057"/>
      <c r="E143" s="2058"/>
      <c r="F143" s="2059"/>
      <c r="G143" s="2057"/>
      <c r="H143" s="2060"/>
      <c r="I143" s="2061"/>
      <c r="J143" s="2057"/>
      <c r="K143" s="2058"/>
      <c r="L143" s="206"/>
      <c r="M143" s="207"/>
      <c r="N143" s="207"/>
      <c r="O143" s="207"/>
      <c r="P143" s="207"/>
      <c r="Q143" s="207"/>
      <c r="R143" s="207"/>
      <c r="S143" s="207"/>
      <c r="T143" s="207"/>
      <c r="U143" s="207"/>
      <c r="V143" s="207"/>
      <c r="W143" s="207"/>
    </row>
    <row r="144" spans="1:23" ht="11.25" hidden="1" customHeight="1" x14ac:dyDescent="0.25">
      <c r="A144" s="942">
        <v>0</v>
      </c>
      <c r="B144" s="843"/>
      <c r="C144" s="2057"/>
      <c r="D144" s="2057"/>
      <c r="E144" s="2058"/>
      <c r="F144" s="2059"/>
      <c r="G144" s="2057"/>
      <c r="H144" s="2060"/>
      <c r="I144" s="2061"/>
      <c r="J144" s="2057"/>
      <c r="K144" s="2058"/>
      <c r="L144" s="206"/>
      <c r="M144" s="207"/>
      <c r="N144" s="207"/>
      <c r="O144" s="207"/>
      <c r="P144" s="207"/>
      <c r="Q144" s="207"/>
      <c r="R144" s="207"/>
      <c r="S144" s="207"/>
      <c r="T144" s="207"/>
      <c r="U144" s="207"/>
      <c r="V144" s="207"/>
      <c r="W144" s="207"/>
    </row>
    <row r="145" spans="1:23" ht="11.25" hidden="1" customHeight="1" x14ac:dyDescent="0.25">
      <c r="A145" s="942">
        <v>0</v>
      </c>
      <c r="B145" s="843"/>
      <c r="C145" s="2057"/>
      <c r="D145" s="2057"/>
      <c r="E145" s="2058"/>
      <c r="F145" s="2059"/>
      <c r="G145" s="2057"/>
      <c r="H145" s="2060"/>
      <c r="I145" s="2061"/>
      <c r="J145" s="2057"/>
      <c r="K145" s="2058"/>
      <c r="L145" s="206"/>
      <c r="M145" s="207"/>
      <c r="N145" s="207"/>
      <c r="O145" s="207"/>
      <c r="P145" s="207"/>
      <c r="Q145" s="207"/>
      <c r="R145" s="207"/>
      <c r="S145" s="207"/>
      <c r="T145" s="207"/>
      <c r="U145" s="207"/>
      <c r="V145" s="207"/>
      <c r="W145" s="207"/>
    </row>
    <row r="146" spans="1:23" ht="11.25" hidden="1" customHeight="1" x14ac:dyDescent="0.25">
      <c r="A146" s="942">
        <v>0</v>
      </c>
      <c r="B146" s="843"/>
      <c r="C146" s="2057"/>
      <c r="D146" s="2057"/>
      <c r="E146" s="2058"/>
      <c r="F146" s="2059"/>
      <c r="G146" s="2057"/>
      <c r="H146" s="2060"/>
      <c r="I146" s="2061"/>
      <c r="J146" s="2057"/>
      <c r="K146" s="2058"/>
      <c r="L146" s="206"/>
      <c r="M146" s="207"/>
      <c r="N146" s="207"/>
      <c r="O146" s="207"/>
      <c r="P146" s="207"/>
      <c r="Q146" s="207"/>
      <c r="R146" s="207"/>
      <c r="S146" s="207"/>
      <c r="T146" s="207"/>
      <c r="U146" s="207"/>
      <c r="V146" s="207"/>
      <c r="W146" s="207"/>
    </row>
    <row r="147" spans="1:23" ht="11.25" hidden="1" customHeight="1" x14ac:dyDescent="0.25">
      <c r="A147" s="942">
        <v>0</v>
      </c>
      <c r="B147" s="843"/>
      <c r="C147" s="2057"/>
      <c r="D147" s="2057"/>
      <c r="E147" s="2058"/>
      <c r="F147" s="2059"/>
      <c r="G147" s="2057"/>
      <c r="H147" s="2060"/>
      <c r="I147" s="2061"/>
      <c r="J147" s="2057"/>
      <c r="K147" s="2058"/>
      <c r="L147" s="206"/>
      <c r="M147" s="207"/>
      <c r="N147" s="207"/>
      <c r="O147" s="207"/>
      <c r="P147" s="207"/>
      <c r="Q147" s="207"/>
      <c r="R147" s="207"/>
      <c r="S147" s="207"/>
      <c r="T147" s="207"/>
      <c r="U147" s="207"/>
      <c r="V147" s="207"/>
      <c r="W147" s="207"/>
    </row>
    <row r="148" spans="1:23" ht="15" hidden="1" customHeight="1" x14ac:dyDescent="0.25">
      <c r="A148" s="1683" t="s">
        <v>2495</v>
      </c>
      <c r="B148" s="843"/>
      <c r="C148" s="755">
        <v>0</v>
      </c>
      <c r="D148" s="755">
        <v>0</v>
      </c>
      <c r="E148" s="758">
        <v>0</v>
      </c>
      <c r="F148" s="757">
        <v>0</v>
      </c>
      <c r="G148" s="755">
        <v>0</v>
      </c>
      <c r="H148" s="756">
        <v>0</v>
      </c>
      <c r="I148" s="1930">
        <v>0</v>
      </c>
      <c r="J148" s="755">
        <v>0</v>
      </c>
      <c r="K148" s="758">
        <v>0</v>
      </c>
      <c r="L148" s="206"/>
      <c r="M148" s="207"/>
      <c r="N148" s="207"/>
      <c r="O148" s="207"/>
      <c r="P148" s="207"/>
      <c r="Q148" s="207"/>
      <c r="R148" s="207"/>
      <c r="S148" s="207"/>
      <c r="T148" s="207"/>
      <c r="U148" s="207"/>
      <c r="V148" s="207"/>
      <c r="W148" s="207"/>
    </row>
    <row r="149" spans="1:23" ht="11.25" hidden="1" customHeight="1" x14ac:dyDescent="0.25">
      <c r="A149" s="942" t="s">
        <v>2038</v>
      </c>
      <c r="B149" s="843"/>
      <c r="C149" s="2057"/>
      <c r="D149" s="2057"/>
      <c r="E149" s="2058"/>
      <c r="F149" s="2059"/>
      <c r="G149" s="2057"/>
      <c r="H149" s="2060"/>
      <c r="I149" s="2061"/>
      <c r="J149" s="2057"/>
      <c r="K149" s="2058"/>
      <c r="L149" s="206"/>
      <c r="M149" s="207"/>
      <c r="N149" s="207"/>
      <c r="O149" s="207"/>
      <c r="P149" s="207"/>
      <c r="Q149" s="207"/>
      <c r="R149" s="207"/>
      <c r="S149" s="207"/>
      <c r="T149" s="207"/>
      <c r="U149" s="207"/>
      <c r="V149" s="207"/>
      <c r="W149" s="207"/>
    </row>
    <row r="150" spans="1:23" ht="11.25" hidden="1" customHeight="1" x14ac:dyDescent="0.25">
      <c r="A150" s="942">
        <v>0</v>
      </c>
      <c r="B150" s="843"/>
      <c r="C150" s="2057"/>
      <c r="D150" s="2057"/>
      <c r="E150" s="2058"/>
      <c r="F150" s="2059"/>
      <c r="G150" s="2057"/>
      <c r="H150" s="2060"/>
      <c r="I150" s="2061"/>
      <c r="J150" s="2057"/>
      <c r="K150" s="2058"/>
      <c r="L150" s="206"/>
      <c r="M150" s="207"/>
      <c r="N150" s="207"/>
      <c r="O150" s="207"/>
      <c r="P150" s="207"/>
      <c r="Q150" s="207"/>
      <c r="R150" s="207"/>
      <c r="S150" s="207"/>
      <c r="T150" s="207"/>
      <c r="U150" s="207"/>
      <c r="V150" s="207"/>
      <c r="W150" s="207"/>
    </row>
    <row r="151" spans="1:23" ht="11.25" hidden="1" customHeight="1" x14ac:dyDescent="0.25">
      <c r="A151" s="942">
        <v>0</v>
      </c>
      <c r="B151" s="843"/>
      <c r="C151" s="2057"/>
      <c r="D151" s="2057"/>
      <c r="E151" s="2058"/>
      <c r="F151" s="2059"/>
      <c r="G151" s="2057"/>
      <c r="H151" s="2060"/>
      <c r="I151" s="2061"/>
      <c r="J151" s="2057"/>
      <c r="K151" s="2058"/>
      <c r="L151" s="206"/>
      <c r="M151" s="207"/>
      <c r="N151" s="207"/>
      <c r="O151" s="207"/>
      <c r="P151" s="207"/>
      <c r="Q151" s="207"/>
      <c r="R151" s="207"/>
      <c r="S151" s="207"/>
      <c r="T151" s="207"/>
      <c r="U151" s="207"/>
      <c r="V151" s="207"/>
      <c r="W151" s="207"/>
    </row>
    <row r="152" spans="1:23" ht="11.25" hidden="1" customHeight="1" x14ac:dyDescent="0.25">
      <c r="A152" s="942">
        <v>0</v>
      </c>
      <c r="B152" s="843"/>
      <c r="C152" s="2057"/>
      <c r="D152" s="2057"/>
      <c r="E152" s="2058"/>
      <c r="F152" s="2059"/>
      <c r="G152" s="2057"/>
      <c r="H152" s="2060"/>
      <c r="I152" s="2061"/>
      <c r="J152" s="2057"/>
      <c r="K152" s="2058"/>
      <c r="L152" s="206"/>
      <c r="M152" s="207"/>
      <c r="N152" s="207"/>
      <c r="O152" s="207"/>
      <c r="P152" s="207"/>
      <c r="Q152" s="207"/>
      <c r="R152" s="207"/>
      <c r="S152" s="207"/>
      <c r="T152" s="207"/>
      <c r="U152" s="207"/>
      <c r="V152" s="207"/>
      <c r="W152" s="207"/>
    </row>
    <row r="153" spans="1:23" ht="11.25" hidden="1" customHeight="1" x14ac:dyDescent="0.25">
      <c r="A153" s="942">
        <v>0</v>
      </c>
      <c r="B153" s="843"/>
      <c r="C153" s="2057"/>
      <c r="D153" s="2057"/>
      <c r="E153" s="2058"/>
      <c r="F153" s="2059"/>
      <c r="G153" s="2057"/>
      <c r="H153" s="2060"/>
      <c r="I153" s="2061"/>
      <c r="J153" s="2057"/>
      <c r="K153" s="2058"/>
      <c r="L153" s="206"/>
      <c r="M153" s="207"/>
      <c r="N153" s="207"/>
      <c r="O153" s="207"/>
      <c r="P153" s="207"/>
      <c r="Q153" s="207"/>
      <c r="R153" s="207"/>
      <c r="S153" s="207"/>
      <c r="T153" s="207"/>
      <c r="U153" s="207"/>
      <c r="V153" s="207"/>
      <c r="W153" s="207"/>
    </row>
    <row r="154" spans="1:23" ht="11.25" hidden="1" customHeight="1" x14ac:dyDescent="0.25">
      <c r="A154" s="942">
        <v>0</v>
      </c>
      <c r="B154" s="843"/>
      <c r="C154" s="2057"/>
      <c r="D154" s="2057"/>
      <c r="E154" s="2058"/>
      <c r="F154" s="2059"/>
      <c r="G154" s="2057"/>
      <c r="H154" s="2060"/>
      <c r="I154" s="2061"/>
      <c r="J154" s="2057"/>
      <c r="K154" s="2058"/>
      <c r="L154" s="206"/>
      <c r="M154" s="207"/>
      <c r="N154" s="207"/>
      <c r="O154" s="207"/>
      <c r="P154" s="207"/>
      <c r="Q154" s="207"/>
      <c r="R154" s="207"/>
      <c r="S154" s="207"/>
      <c r="T154" s="207"/>
      <c r="U154" s="207"/>
      <c r="V154" s="207"/>
      <c r="W154" s="207"/>
    </row>
    <row r="155" spans="1:23" ht="11.25" hidden="1" customHeight="1" x14ac:dyDescent="0.25">
      <c r="A155" s="942">
        <v>0</v>
      </c>
      <c r="B155" s="843"/>
      <c r="C155" s="2057"/>
      <c r="D155" s="2057"/>
      <c r="E155" s="2058"/>
      <c r="F155" s="2059"/>
      <c r="G155" s="2057"/>
      <c r="H155" s="2060"/>
      <c r="I155" s="2061"/>
      <c r="J155" s="2057"/>
      <c r="K155" s="2058"/>
      <c r="L155" s="206"/>
      <c r="M155" s="207"/>
      <c r="N155" s="207"/>
      <c r="O155" s="207"/>
      <c r="P155" s="207"/>
      <c r="Q155" s="207"/>
      <c r="R155" s="207"/>
      <c r="S155" s="207"/>
      <c r="T155" s="207"/>
      <c r="U155" s="207"/>
      <c r="V155" s="207"/>
      <c r="W155" s="207"/>
    </row>
    <row r="156" spans="1:23" ht="11.25" hidden="1" customHeight="1" x14ac:dyDescent="0.25">
      <c r="A156" s="942">
        <v>0</v>
      </c>
      <c r="B156" s="843"/>
      <c r="C156" s="2057"/>
      <c r="D156" s="2057"/>
      <c r="E156" s="2058"/>
      <c r="F156" s="2059"/>
      <c r="G156" s="2057"/>
      <c r="H156" s="2060"/>
      <c r="I156" s="2061"/>
      <c r="J156" s="2057"/>
      <c r="K156" s="2058"/>
      <c r="L156" s="206"/>
      <c r="M156" s="207"/>
      <c r="N156" s="207"/>
      <c r="O156" s="207"/>
      <c r="P156" s="207"/>
      <c r="Q156" s="207"/>
      <c r="R156" s="207"/>
      <c r="S156" s="207"/>
      <c r="T156" s="207"/>
      <c r="U156" s="207"/>
      <c r="V156" s="207"/>
      <c r="W156" s="207"/>
    </row>
    <row r="157" spans="1:23" ht="11.25" hidden="1" customHeight="1" x14ac:dyDescent="0.25">
      <c r="A157" s="942">
        <v>0</v>
      </c>
      <c r="B157" s="843"/>
      <c r="C157" s="2057"/>
      <c r="D157" s="2057"/>
      <c r="E157" s="2058"/>
      <c r="F157" s="2059"/>
      <c r="G157" s="2057"/>
      <c r="H157" s="2060"/>
      <c r="I157" s="2061"/>
      <c r="J157" s="2057"/>
      <c r="K157" s="2058"/>
      <c r="L157" s="206"/>
      <c r="M157" s="207"/>
      <c r="N157" s="207"/>
      <c r="O157" s="207"/>
      <c r="P157" s="207"/>
      <c r="Q157" s="207"/>
      <c r="R157" s="207"/>
      <c r="S157" s="207"/>
      <c r="T157" s="207"/>
      <c r="U157" s="207"/>
      <c r="V157" s="207"/>
      <c r="W157" s="207"/>
    </row>
    <row r="158" spans="1:23" ht="11.25" hidden="1" customHeight="1" x14ac:dyDescent="0.25">
      <c r="A158" s="942">
        <v>0</v>
      </c>
      <c r="B158" s="843"/>
      <c r="C158" s="2057"/>
      <c r="D158" s="2057"/>
      <c r="E158" s="2058"/>
      <c r="F158" s="2059"/>
      <c r="G158" s="2057"/>
      <c r="H158" s="2060"/>
      <c r="I158" s="2061"/>
      <c r="J158" s="2057"/>
      <c r="K158" s="2058"/>
      <c r="L158" s="206"/>
      <c r="M158" s="207"/>
      <c r="N158" s="207"/>
      <c r="O158" s="207"/>
      <c r="P158" s="207"/>
      <c r="Q158" s="207"/>
      <c r="R158" s="207"/>
      <c r="S158" s="207"/>
      <c r="T158" s="207"/>
      <c r="U158" s="207"/>
      <c r="V158" s="207"/>
      <c r="W158" s="207"/>
    </row>
    <row r="159" spans="1:23" ht="15" hidden="1" customHeight="1" x14ac:dyDescent="0.25">
      <c r="A159" s="1683" t="s">
        <v>2496</v>
      </c>
      <c r="B159" s="843"/>
      <c r="C159" s="755">
        <v>0</v>
      </c>
      <c r="D159" s="755">
        <v>0</v>
      </c>
      <c r="E159" s="758">
        <v>0</v>
      </c>
      <c r="F159" s="757">
        <v>0</v>
      </c>
      <c r="G159" s="755">
        <v>0</v>
      </c>
      <c r="H159" s="756">
        <v>0</v>
      </c>
      <c r="I159" s="1930">
        <v>0</v>
      </c>
      <c r="J159" s="755">
        <v>0</v>
      </c>
      <c r="K159" s="758">
        <v>0</v>
      </c>
      <c r="L159" s="206"/>
      <c r="M159" s="207"/>
      <c r="N159" s="207"/>
      <c r="O159" s="207"/>
      <c r="P159" s="207"/>
      <c r="Q159" s="207"/>
      <c r="R159" s="207"/>
      <c r="S159" s="207"/>
      <c r="T159" s="207"/>
      <c r="U159" s="207"/>
      <c r="V159" s="207"/>
      <c r="W159" s="207"/>
    </row>
    <row r="160" spans="1:23" ht="11.25" hidden="1" customHeight="1" x14ac:dyDescent="0.25">
      <c r="A160" s="942" t="s">
        <v>2039</v>
      </c>
      <c r="B160" s="843"/>
      <c r="C160" s="2057"/>
      <c r="D160" s="2057"/>
      <c r="E160" s="2058"/>
      <c r="F160" s="2059"/>
      <c r="G160" s="2057"/>
      <c r="H160" s="2060"/>
      <c r="I160" s="2061"/>
      <c r="J160" s="2057"/>
      <c r="K160" s="2058"/>
      <c r="L160" s="206"/>
      <c r="M160" s="207"/>
      <c r="N160" s="207"/>
      <c r="O160" s="207"/>
      <c r="P160" s="207"/>
      <c r="Q160" s="207"/>
      <c r="R160" s="207"/>
      <c r="S160" s="207"/>
      <c r="T160" s="207"/>
      <c r="U160" s="207"/>
      <c r="V160" s="207"/>
      <c r="W160" s="207"/>
    </row>
    <row r="161" spans="1:23" ht="11.25" hidden="1" customHeight="1" x14ac:dyDescent="0.25">
      <c r="A161" s="942">
        <v>0</v>
      </c>
      <c r="B161" s="843"/>
      <c r="C161" s="2057"/>
      <c r="D161" s="2057"/>
      <c r="E161" s="2058"/>
      <c r="F161" s="2059"/>
      <c r="G161" s="2057"/>
      <c r="H161" s="2060"/>
      <c r="I161" s="2061"/>
      <c r="J161" s="2057"/>
      <c r="K161" s="2058"/>
      <c r="L161" s="206"/>
      <c r="M161" s="207"/>
      <c r="N161" s="207"/>
      <c r="O161" s="207"/>
      <c r="P161" s="207"/>
      <c r="Q161" s="207"/>
      <c r="R161" s="207"/>
      <c r="S161" s="207"/>
      <c r="T161" s="207"/>
      <c r="U161" s="207"/>
      <c r="V161" s="207"/>
      <c r="W161" s="207"/>
    </row>
    <row r="162" spans="1:23" ht="11.25" hidden="1" customHeight="1" x14ac:dyDescent="0.25">
      <c r="A162" s="942">
        <v>0</v>
      </c>
      <c r="B162" s="843"/>
      <c r="C162" s="2057"/>
      <c r="D162" s="2057"/>
      <c r="E162" s="2058"/>
      <c r="F162" s="2059"/>
      <c r="G162" s="2057"/>
      <c r="H162" s="2060"/>
      <c r="I162" s="2061"/>
      <c r="J162" s="2057"/>
      <c r="K162" s="2058"/>
      <c r="L162" s="206"/>
      <c r="M162" s="207"/>
      <c r="N162" s="207"/>
      <c r="O162" s="207"/>
      <c r="P162" s="207"/>
      <c r="Q162" s="207"/>
      <c r="R162" s="207"/>
      <c r="S162" s="207"/>
      <c r="T162" s="207"/>
      <c r="U162" s="207"/>
      <c r="V162" s="207"/>
      <c r="W162" s="207"/>
    </row>
    <row r="163" spans="1:23" ht="11.25" hidden="1" customHeight="1" x14ac:dyDescent="0.25">
      <c r="A163" s="942">
        <v>0</v>
      </c>
      <c r="B163" s="843"/>
      <c r="C163" s="2057"/>
      <c r="D163" s="2057"/>
      <c r="E163" s="2058"/>
      <c r="F163" s="2059"/>
      <c r="G163" s="2057"/>
      <c r="H163" s="2060"/>
      <c r="I163" s="2061"/>
      <c r="J163" s="2057"/>
      <c r="K163" s="2058"/>
      <c r="L163" s="206"/>
      <c r="M163" s="207"/>
      <c r="N163" s="207"/>
      <c r="O163" s="207"/>
      <c r="P163" s="207"/>
      <c r="Q163" s="207"/>
      <c r="R163" s="207"/>
      <c r="S163" s="207"/>
      <c r="T163" s="207"/>
      <c r="U163" s="207"/>
      <c r="V163" s="207"/>
      <c r="W163" s="207"/>
    </row>
    <row r="164" spans="1:23" ht="11.25" hidden="1" customHeight="1" x14ac:dyDescent="0.25">
      <c r="A164" s="942">
        <v>0</v>
      </c>
      <c r="B164" s="843"/>
      <c r="C164" s="2057"/>
      <c r="D164" s="2057"/>
      <c r="E164" s="2058"/>
      <c r="F164" s="2059"/>
      <c r="G164" s="2057"/>
      <c r="H164" s="2060"/>
      <c r="I164" s="2061"/>
      <c r="J164" s="2057"/>
      <c r="K164" s="2058"/>
      <c r="L164" s="206"/>
      <c r="M164" s="207"/>
      <c r="N164" s="207"/>
      <c r="O164" s="207"/>
      <c r="P164" s="207"/>
      <c r="Q164" s="207"/>
      <c r="R164" s="207"/>
      <c r="S164" s="207"/>
      <c r="T164" s="207"/>
      <c r="U164" s="207"/>
      <c r="V164" s="207"/>
      <c r="W164" s="207"/>
    </row>
    <row r="165" spans="1:23" ht="11.25" hidden="1" customHeight="1" x14ac:dyDescent="0.25">
      <c r="A165" s="942">
        <v>0</v>
      </c>
      <c r="B165" s="843"/>
      <c r="C165" s="2057"/>
      <c r="D165" s="2057"/>
      <c r="E165" s="2058"/>
      <c r="F165" s="2059"/>
      <c r="G165" s="2057"/>
      <c r="H165" s="2060"/>
      <c r="I165" s="2061"/>
      <c r="J165" s="2057"/>
      <c r="K165" s="2058"/>
      <c r="L165" s="206"/>
      <c r="M165" s="207"/>
      <c r="N165" s="207"/>
      <c r="O165" s="207"/>
      <c r="P165" s="207"/>
      <c r="Q165" s="207"/>
      <c r="R165" s="207"/>
      <c r="S165" s="207"/>
      <c r="T165" s="207"/>
      <c r="U165" s="207"/>
      <c r="V165" s="207"/>
      <c r="W165" s="207"/>
    </row>
    <row r="166" spans="1:23" ht="11.25" hidden="1" customHeight="1" x14ac:dyDescent="0.25">
      <c r="A166" s="942">
        <v>0</v>
      </c>
      <c r="B166" s="843"/>
      <c r="C166" s="2057"/>
      <c r="D166" s="2057"/>
      <c r="E166" s="2058"/>
      <c r="F166" s="2059"/>
      <c r="G166" s="2057"/>
      <c r="H166" s="2060"/>
      <c r="I166" s="2061"/>
      <c r="J166" s="2057"/>
      <c r="K166" s="2058"/>
      <c r="L166" s="206"/>
      <c r="M166" s="207"/>
      <c r="N166" s="207"/>
      <c r="O166" s="207"/>
      <c r="P166" s="207"/>
      <c r="Q166" s="207"/>
      <c r="R166" s="207"/>
      <c r="S166" s="207"/>
      <c r="T166" s="207"/>
      <c r="U166" s="207"/>
      <c r="V166" s="207"/>
      <c r="W166" s="207"/>
    </row>
    <row r="167" spans="1:23" ht="11.25" hidden="1" customHeight="1" x14ac:dyDescent="0.25">
      <c r="A167" s="942">
        <v>0</v>
      </c>
      <c r="B167" s="843"/>
      <c r="C167" s="2057"/>
      <c r="D167" s="2057"/>
      <c r="E167" s="2058"/>
      <c r="F167" s="2059"/>
      <c r="G167" s="2057"/>
      <c r="H167" s="2060"/>
      <c r="I167" s="2061"/>
      <c r="J167" s="2057"/>
      <c r="K167" s="2058"/>
      <c r="L167" s="206"/>
      <c r="M167" s="207"/>
      <c r="N167" s="207"/>
      <c r="O167" s="207"/>
      <c r="P167" s="207"/>
      <c r="Q167" s="207"/>
      <c r="R167" s="207"/>
      <c r="S167" s="207"/>
      <c r="T167" s="207"/>
      <c r="U167" s="207"/>
      <c r="V167" s="207"/>
      <c r="W167" s="207"/>
    </row>
    <row r="168" spans="1:23" ht="11.25" hidden="1" customHeight="1" x14ac:dyDescent="0.25">
      <c r="A168" s="942">
        <v>0</v>
      </c>
      <c r="B168" s="843"/>
      <c r="C168" s="2057"/>
      <c r="D168" s="2057"/>
      <c r="E168" s="2058"/>
      <c r="F168" s="2059"/>
      <c r="G168" s="2057"/>
      <c r="H168" s="2060"/>
      <c r="I168" s="2061"/>
      <c r="J168" s="2057"/>
      <c r="K168" s="2058"/>
      <c r="L168" s="206"/>
      <c r="M168" s="207"/>
      <c r="N168" s="207"/>
      <c r="O168" s="207"/>
      <c r="P168" s="207"/>
      <c r="Q168" s="207"/>
      <c r="R168" s="207"/>
      <c r="S168" s="207"/>
      <c r="T168" s="207"/>
      <c r="U168" s="207"/>
      <c r="V168" s="207"/>
      <c r="W168" s="207"/>
    </row>
    <row r="169" spans="1:23" ht="11.25" hidden="1" customHeight="1" x14ac:dyDescent="0.25">
      <c r="A169" s="942">
        <v>0</v>
      </c>
      <c r="B169" s="843"/>
      <c r="C169" s="2057"/>
      <c r="D169" s="2057"/>
      <c r="E169" s="2058"/>
      <c r="F169" s="2059"/>
      <c r="G169" s="2057"/>
      <c r="H169" s="2060"/>
      <c r="I169" s="2061"/>
      <c r="J169" s="2057"/>
      <c r="K169" s="2058"/>
      <c r="L169" s="206"/>
      <c r="M169" s="207"/>
      <c r="N169" s="207"/>
      <c r="O169" s="207"/>
      <c r="P169" s="207"/>
      <c r="Q169" s="207"/>
      <c r="R169" s="207"/>
      <c r="S169" s="207"/>
      <c r="T169" s="207"/>
      <c r="U169" s="207"/>
      <c r="V169" s="207"/>
      <c r="W169" s="207"/>
    </row>
    <row r="170" spans="1:23" ht="11.25" customHeight="1" x14ac:dyDescent="0.25">
      <c r="A170" s="982" t="s">
        <v>180</v>
      </c>
      <c r="B170" s="955">
        <v>2</v>
      </c>
      <c r="C170" s="2062">
        <v>69670135.961141273</v>
      </c>
      <c r="D170" s="2062">
        <v>62851420.262112945</v>
      </c>
      <c r="E170" s="2063">
        <v>60870161.04787197</v>
      </c>
      <c r="F170" s="2064">
        <v>54400345.829999998</v>
      </c>
      <c r="G170" s="2062">
        <v>67372591</v>
      </c>
      <c r="H170" s="2065">
        <v>67372591</v>
      </c>
      <c r="I170" s="2066">
        <v>82706920.062484264</v>
      </c>
      <c r="J170" s="2062">
        <v>88214435.266233325</v>
      </c>
      <c r="K170" s="2063">
        <v>93775241.376207322</v>
      </c>
      <c r="L170" s="2067">
        <v>0</v>
      </c>
      <c r="M170" s="2068">
        <v>0</v>
      </c>
      <c r="N170" s="2068">
        <v>0</v>
      </c>
      <c r="O170" s="2068">
        <v>0</v>
      </c>
      <c r="P170" s="2068">
        <v>0</v>
      </c>
      <c r="Q170" s="2068">
        <v>0</v>
      </c>
      <c r="R170" s="2068">
        <v>0</v>
      </c>
      <c r="S170" s="2068">
        <v>0</v>
      </c>
      <c r="T170" s="2068">
        <v>0</v>
      </c>
      <c r="U170" s="2068">
        <v>0</v>
      </c>
      <c r="V170" s="2068">
        <v>0</v>
      </c>
      <c r="W170" s="2068">
        <v>0</v>
      </c>
    </row>
    <row r="171" spans="1:23" ht="5.0999999999999996" customHeight="1" x14ac:dyDescent="0.25">
      <c r="A171" s="1004"/>
      <c r="B171" s="1005"/>
      <c r="C171" s="1851"/>
      <c r="D171" s="1851"/>
      <c r="E171" s="1852"/>
      <c r="F171" s="1853"/>
      <c r="G171" s="1851"/>
      <c r="H171" s="1854"/>
      <c r="I171" s="1850"/>
      <c r="J171" s="1851"/>
      <c r="K171" s="1852"/>
      <c r="L171" s="206"/>
      <c r="M171" s="207"/>
      <c r="N171" s="207"/>
      <c r="O171" s="207"/>
      <c r="P171" s="207"/>
      <c r="Q171" s="207"/>
      <c r="R171" s="207"/>
      <c r="S171" s="207"/>
      <c r="T171" s="207"/>
      <c r="U171" s="207"/>
      <c r="V171" s="207"/>
      <c r="W171" s="207"/>
    </row>
    <row r="172" spans="1:23" ht="11.25" customHeight="1" x14ac:dyDescent="0.25">
      <c r="A172" s="1006" t="s">
        <v>431</v>
      </c>
      <c r="B172" s="1007">
        <v>1</v>
      </c>
      <c r="C172" s="2069"/>
      <c r="D172" s="2069"/>
      <c r="E172" s="2070"/>
      <c r="F172" s="2071"/>
      <c r="G172" s="2069"/>
      <c r="H172" s="2072"/>
      <c r="I172" s="2073"/>
      <c r="J172" s="2069"/>
      <c r="K172" s="2070"/>
      <c r="L172" s="206"/>
      <c r="M172" s="207"/>
      <c r="N172" s="207"/>
      <c r="O172" s="207"/>
      <c r="P172" s="207"/>
      <c r="Q172" s="207"/>
      <c r="R172" s="207"/>
      <c r="S172" s="207"/>
      <c r="T172" s="207"/>
      <c r="U172" s="207"/>
      <c r="V172" s="207"/>
      <c r="W172" s="207"/>
    </row>
    <row r="173" spans="1:23" ht="15" customHeight="1" x14ac:dyDescent="0.25">
      <c r="A173" s="941" t="s">
        <v>2374</v>
      </c>
      <c r="B173" s="1008"/>
      <c r="C173" s="2074">
        <v>21993066.730008647</v>
      </c>
      <c r="D173" s="2074">
        <v>13694688.373702155</v>
      </c>
      <c r="E173" s="2075">
        <v>10447845.640000002</v>
      </c>
      <c r="F173" s="2076">
        <v>33690208.37736842</v>
      </c>
      <c r="G173" s="2074">
        <v>21795826.142857142</v>
      </c>
      <c r="H173" s="2077">
        <v>21795826.142857142</v>
      </c>
      <c r="I173" s="2078">
        <v>16354474.257052321</v>
      </c>
      <c r="J173" s="2074">
        <v>17132742.71247546</v>
      </c>
      <c r="K173" s="2075">
        <v>18277107.275223989</v>
      </c>
      <c r="L173" s="206"/>
      <c r="M173" s="207"/>
      <c r="N173" s="207"/>
      <c r="O173" s="207"/>
      <c r="P173" s="207"/>
      <c r="Q173" s="207"/>
      <c r="R173" s="207"/>
      <c r="S173" s="207"/>
      <c r="T173" s="207"/>
      <c r="U173" s="207"/>
      <c r="V173" s="207"/>
      <c r="W173" s="207"/>
    </row>
    <row r="174" spans="1:23" ht="11.25" customHeight="1" x14ac:dyDescent="0.25">
      <c r="A174" s="942" t="s">
        <v>2316</v>
      </c>
      <c r="B174" s="843"/>
      <c r="C174" s="2057">
        <v>16168592.470000001</v>
      </c>
      <c r="D174" s="2057">
        <v>3754652.47</v>
      </c>
      <c r="E174" s="2058">
        <v>1397051.6099999999</v>
      </c>
      <c r="F174" s="2059">
        <v>1413637</v>
      </c>
      <c r="G174" s="2057">
        <v>1453830</v>
      </c>
      <c r="H174" s="2060">
        <v>1453830</v>
      </c>
      <c r="I174" s="2061">
        <v>1516163.1802439999</v>
      </c>
      <c r="J174" s="2057">
        <v>1607132.9710586399</v>
      </c>
      <c r="K174" s="2058">
        <v>1703560.9493221585</v>
      </c>
      <c r="L174" s="206"/>
      <c r="M174" s="207"/>
      <c r="N174" s="207"/>
      <c r="O174" s="207"/>
      <c r="P174" s="207"/>
      <c r="Q174" s="207"/>
      <c r="R174" s="207"/>
      <c r="S174" s="207"/>
      <c r="T174" s="207"/>
      <c r="U174" s="207"/>
      <c r="V174" s="207"/>
      <c r="W174" s="207"/>
    </row>
    <row r="175" spans="1:23" ht="11.25" customHeight="1" x14ac:dyDescent="0.25">
      <c r="A175" s="942" t="s">
        <v>2317</v>
      </c>
      <c r="B175" s="843"/>
      <c r="C175" s="2057">
        <v>5947659.1899999985</v>
      </c>
      <c r="D175" s="2057">
        <v>5935616.3619999997</v>
      </c>
      <c r="E175" s="2058">
        <v>9311687.5100000035</v>
      </c>
      <c r="F175" s="2061">
        <v>8926355.719373472</v>
      </c>
      <c r="G175" s="2057">
        <v>11412830.142857144</v>
      </c>
      <c r="H175" s="2060">
        <v>11412830.142857144</v>
      </c>
      <c r="I175" s="2061">
        <v>11611256.616808319</v>
      </c>
      <c r="J175" s="2057">
        <v>12104932.013816819</v>
      </c>
      <c r="K175" s="2058">
        <v>12947627.93464583</v>
      </c>
      <c r="L175" s="206"/>
      <c r="M175" s="207"/>
      <c r="N175" s="207"/>
      <c r="O175" s="207"/>
      <c r="P175" s="207"/>
      <c r="Q175" s="207"/>
      <c r="R175" s="207"/>
      <c r="S175" s="207"/>
      <c r="T175" s="207"/>
      <c r="U175" s="207"/>
      <c r="V175" s="207"/>
      <c r="W175" s="207"/>
    </row>
    <row r="176" spans="1:23" ht="11.25" customHeight="1" x14ac:dyDescent="0.25">
      <c r="A176" s="942" t="s">
        <v>2318</v>
      </c>
      <c r="B176" s="843"/>
      <c r="C176" s="2057">
        <v>0</v>
      </c>
      <c r="D176" s="2057">
        <v>111444.06</v>
      </c>
      <c r="E176" s="2058">
        <v>1344.04</v>
      </c>
      <c r="F176" s="2059">
        <v>30000</v>
      </c>
      <c r="G176" s="2057">
        <v>30000</v>
      </c>
      <c r="H176" s="2060">
        <v>30000</v>
      </c>
      <c r="I176" s="2061">
        <v>53000</v>
      </c>
      <c r="J176" s="2057">
        <v>56180</v>
      </c>
      <c r="K176" s="2058">
        <v>59550.8</v>
      </c>
      <c r="L176" s="206"/>
      <c r="M176" s="207"/>
      <c r="N176" s="207"/>
      <c r="O176" s="207"/>
      <c r="P176" s="207"/>
      <c r="Q176" s="207"/>
      <c r="R176" s="207"/>
      <c r="S176" s="207"/>
      <c r="T176" s="207"/>
      <c r="U176" s="207"/>
      <c r="V176" s="207"/>
      <c r="W176" s="207"/>
    </row>
    <row r="177" spans="1:23" ht="11.25" customHeight="1" x14ac:dyDescent="0.25">
      <c r="A177" s="942" t="s">
        <v>2319</v>
      </c>
      <c r="B177" s="843"/>
      <c r="C177" s="2057">
        <v>-123184.92999135191</v>
      </c>
      <c r="D177" s="2057">
        <v>3892975.4817021545</v>
      </c>
      <c r="E177" s="2058">
        <v>-262237.52</v>
      </c>
      <c r="F177" s="2059">
        <v>10094540.240000043</v>
      </c>
      <c r="G177" s="2057">
        <v>8899166</v>
      </c>
      <c r="H177" s="2060">
        <v>8899166</v>
      </c>
      <c r="I177" s="2061">
        <v>3174054.46</v>
      </c>
      <c r="J177" s="2057">
        <v>3364497.7276000003</v>
      </c>
      <c r="K177" s="2058">
        <v>3566367.5912560006</v>
      </c>
      <c r="L177" s="206"/>
      <c r="M177" s="207"/>
      <c r="N177" s="207"/>
      <c r="O177" s="207"/>
      <c r="P177" s="207"/>
      <c r="Q177" s="207"/>
      <c r="R177" s="207"/>
      <c r="S177" s="207"/>
      <c r="T177" s="207"/>
      <c r="U177" s="207"/>
      <c r="V177" s="207"/>
      <c r="W177" s="207"/>
    </row>
    <row r="178" spans="1:23" ht="11.25" customHeight="1" x14ac:dyDescent="0.25">
      <c r="A178" s="942" t="s">
        <v>2298</v>
      </c>
      <c r="B178" s="843"/>
      <c r="C178" s="1030">
        <v>0</v>
      </c>
      <c r="D178" s="1030">
        <v>0</v>
      </c>
      <c r="E178" s="1065">
        <v>0</v>
      </c>
      <c r="F178" s="1066">
        <v>3434737.004825728</v>
      </c>
      <c r="G178" s="1030">
        <v>0</v>
      </c>
      <c r="H178" s="1067">
        <v>0</v>
      </c>
      <c r="I178" s="1031">
        <v>0</v>
      </c>
      <c r="J178" s="1030">
        <v>0</v>
      </c>
      <c r="K178" s="1065">
        <v>0</v>
      </c>
      <c r="L178" s="206"/>
      <c r="M178" s="207"/>
      <c r="N178" s="207"/>
      <c r="O178" s="207"/>
      <c r="P178" s="207"/>
      <c r="Q178" s="207"/>
      <c r="R178" s="207"/>
      <c r="S178" s="207"/>
      <c r="T178" s="207"/>
      <c r="U178" s="207"/>
      <c r="V178" s="207"/>
      <c r="W178" s="207"/>
    </row>
    <row r="179" spans="1:23" ht="11.25" customHeight="1" x14ac:dyDescent="0.25">
      <c r="A179" s="942" t="s">
        <v>2302</v>
      </c>
      <c r="B179" s="843"/>
      <c r="C179" s="1030">
        <v>0</v>
      </c>
      <c r="D179" s="1030">
        <v>0</v>
      </c>
      <c r="E179" s="1065">
        <v>0</v>
      </c>
      <c r="F179" s="1066">
        <v>988541.462633344</v>
      </c>
      <c r="G179" s="1030">
        <v>0</v>
      </c>
      <c r="H179" s="1067">
        <v>0</v>
      </c>
      <c r="I179" s="1031">
        <v>0</v>
      </c>
      <c r="J179" s="1030">
        <v>0</v>
      </c>
      <c r="K179" s="1065">
        <v>0</v>
      </c>
      <c r="L179" s="206"/>
      <c r="M179" s="207"/>
      <c r="N179" s="207"/>
      <c r="O179" s="207"/>
      <c r="P179" s="207"/>
      <c r="Q179" s="207"/>
      <c r="R179" s="207"/>
      <c r="S179" s="207"/>
      <c r="T179" s="207"/>
      <c r="U179" s="207"/>
      <c r="V179" s="207"/>
      <c r="W179" s="207"/>
    </row>
    <row r="180" spans="1:23" ht="11.25" customHeight="1" x14ac:dyDescent="0.25">
      <c r="A180" s="942" t="s">
        <v>2297</v>
      </c>
      <c r="B180" s="843"/>
      <c r="C180" s="1030">
        <v>0</v>
      </c>
      <c r="D180" s="1030">
        <v>0</v>
      </c>
      <c r="E180" s="1065">
        <v>0</v>
      </c>
      <c r="F180" s="1066">
        <v>8802396.9505358338</v>
      </c>
      <c r="G180" s="1030">
        <v>0</v>
      </c>
      <c r="H180" s="1067">
        <v>0</v>
      </c>
      <c r="I180" s="1031">
        <v>0</v>
      </c>
      <c r="J180" s="1030">
        <v>0</v>
      </c>
      <c r="K180" s="1065">
        <v>0</v>
      </c>
      <c r="L180" s="206"/>
      <c r="M180" s="207"/>
      <c r="N180" s="207"/>
      <c r="O180" s="207"/>
      <c r="P180" s="207"/>
      <c r="Q180" s="207"/>
      <c r="R180" s="207"/>
      <c r="S180" s="207"/>
      <c r="T180" s="207"/>
      <c r="U180" s="207"/>
      <c r="V180" s="207"/>
      <c r="W180" s="207"/>
    </row>
    <row r="181" spans="1:23" ht="11.25" customHeight="1" x14ac:dyDescent="0.25">
      <c r="A181" s="942">
        <v>0</v>
      </c>
      <c r="B181" s="843"/>
      <c r="C181" s="1030"/>
      <c r="D181" s="1030"/>
      <c r="E181" s="1065"/>
      <c r="F181" s="1066"/>
      <c r="G181" s="1030"/>
      <c r="H181" s="1067"/>
      <c r="I181" s="1031"/>
      <c r="J181" s="1030"/>
      <c r="K181" s="1065"/>
      <c r="L181" s="206"/>
      <c r="M181" s="207"/>
      <c r="N181" s="207"/>
      <c r="O181" s="207"/>
      <c r="P181" s="207"/>
      <c r="Q181" s="207"/>
      <c r="R181" s="207"/>
      <c r="S181" s="207"/>
      <c r="T181" s="207"/>
      <c r="U181" s="207"/>
      <c r="V181" s="207"/>
      <c r="W181" s="207"/>
    </row>
    <row r="182" spans="1:23" ht="11.25" customHeight="1" x14ac:dyDescent="0.25">
      <c r="A182" s="942">
        <v>0</v>
      </c>
      <c r="B182" s="843"/>
      <c r="C182" s="1030"/>
      <c r="D182" s="1030"/>
      <c r="E182" s="1065"/>
      <c r="F182" s="1066"/>
      <c r="G182" s="1030"/>
      <c r="H182" s="1067"/>
      <c r="I182" s="1031"/>
      <c r="J182" s="1030"/>
      <c r="K182" s="1065"/>
      <c r="L182" s="206"/>
      <c r="M182" s="207"/>
      <c r="N182" s="207"/>
      <c r="O182" s="207"/>
      <c r="P182" s="207"/>
      <c r="Q182" s="207"/>
      <c r="R182" s="207"/>
      <c r="S182" s="207"/>
      <c r="T182" s="207"/>
      <c r="U182" s="207"/>
      <c r="V182" s="207"/>
      <c r="W182" s="207"/>
    </row>
    <row r="183" spans="1:23" ht="11.25" customHeight="1" x14ac:dyDescent="0.25">
      <c r="A183" s="942">
        <v>0</v>
      </c>
      <c r="B183" s="843"/>
      <c r="C183" s="1030"/>
      <c r="D183" s="1030"/>
      <c r="E183" s="1065"/>
      <c r="F183" s="1066"/>
      <c r="G183" s="1030"/>
      <c r="H183" s="1067"/>
      <c r="I183" s="1031"/>
      <c r="J183" s="1030"/>
      <c r="K183" s="1065"/>
      <c r="L183" s="206"/>
      <c r="M183" s="207"/>
      <c r="N183" s="207"/>
      <c r="O183" s="207"/>
      <c r="P183" s="207"/>
      <c r="Q183" s="207"/>
      <c r="R183" s="207"/>
      <c r="S183" s="207"/>
      <c r="T183" s="207"/>
      <c r="U183" s="207"/>
      <c r="V183" s="207"/>
      <c r="W183" s="207"/>
    </row>
    <row r="184" spans="1:23" ht="15" customHeight="1" x14ac:dyDescent="0.25">
      <c r="A184" s="941" t="s">
        <v>2375</v>
      </c>
      <c r="B184" s="846"/>
      <c r="C184" s="755">
        <v>3657680.1479741191</v>
      </c>
      <c r="D184" s="755">
        <v>14249433.206008008</v>
      </c>
      <c r="E184" s="758">
        <v>18065602.419999998</v>
      </c>
      <c r="F184" s="757">
        <v>1694922.842094752</v>
      </c>
      <c r="G184" s="755">
        <v>22382900.142857142</v>
      </c>
      <c r="H184" s="756">
        <v>22382900.142857142</v>
      </c>
      <c r="I184" s="1930">
        <v>22687055.167830002</v>
      </c>
      <c r="J184" s="755">
        <v>24048242.477899801</v>
      </c>
      <c r="K184" s="758">
        <v>25491101.026573792</v>
      </c>
      <c r="L184" s="206"/>
      <c r="M184" s="207"/>
      <c r="N184" s="207"/>
      <c r="O184" s="207"/>
      <c r="P184" s="207"/>
      <c r="Q184" s="207"/>
      <c r="R184" s="207"/>
      <c r="S184" s="207"/>
      <c r="T184" s="207"/>
      <c r="U184" s="207"/>
      <c r="V184" s="207"/>
      <c r="W184" s="207"/>
    </row>
    <row r="185" spans="1:23" ht="11.25" customHeight="1" x14ac:dyDescent="0.25">
      <c r="A185" s="942" t="s">
        <v>2320</v>
      </c>
      <c r="B185" s="843"/>
      <c r="C185" s="2057">
        <v>39081.06</v>
      </c>
      <c r="D185" s="2057">
        <v>16677.04</v>
      </c>
      <c r="E185" s="2058">
        <v>5412.1200000000008</v>
      </c>
      <c r="F185" s="2059">
        <v>35100</v>
      </c>
      <c r="G185" s="2057">
        <v>35100</v>
      </c>
      <c r="H185" s="2060">
        <v>35100</v>
      </c>
      <c r="I185" s="2061">
        <v>55100</v>
      </c>
      <c r="J185" s="2057">
        <v>58370</v>
      </c>
      <c r="K185" s="2058">
        <v>61836.2</v>
      </c>
      <c r="L185" s="206"/>
      <c r="M185" s="207"/>
      <c r="N185" s="207"/>
      <c r="O185" s="207"/>
      <c r="P185" s="207"/>
      <c r="Q185" s="207"/>
      <c r="R185" s="207"/>
      <c r="S185" s="207"/>
      <c r="T185" s="207"/>
      <c r="U185" s="207"/>
      <c r="V185" s="207"/>
      <c r="W185" s="207"/>
    </row>
    <row r="186" spans="1:23" ht="11.25" customHeight="1" x14ac:dyDescent="0.25">
      <c r="A186" s="942" t="s">
        <v>2321</v>
      </c>
      <c r="B186" s="843"/>
      <c r="C186" s="2057">
        <v>11158.31</v>
      </c>
      <c r="D186" s="2057">
        <v>10758.99</v>
      </c>
      <c r="E186" s="2058">
        <v>0</v>
      </c>
      <c r="F186" s="2059">
        <v>250</v>
      </c>
      <c r="G186" s="2057">
        <v>250</v>
      </c>
      <c r="H186" s="2060">
        <v>250</v>
      </c>
      <c r="I186" s="2061">
        <v>250</v>
      </c>
      <c r="J186" s="2057">
        <v>265</v>
      </c>
      <c r="K186" s="2058">
        <v>280.90000000000003</v>
      </c>
      <c r="L186" s="206"/>
      <c r="M186" s="207"/>
      <c r="N186" s="207"/>
      <c r="O186" s="207"/>
      <c r="P186" s="207"/>
      <c r="Q186" s="207"/>
      <c r="R186" s="207"/>
      <c r="S186" s="207"/>
      <c r="T186" s="207"/>
      <c r="U186" s="207"/>
      <c r="V186" s="207"/>
      <c r="W186" s="207"/>
    </row>
    <row r="187" spans="1:23" ht="11.25" customHeight="1" x14ac:dyDescent="0.25">
      <c r="A187" s="942" t="s">
        <v>2322</v>
      </c>
      <c r="B187" s="843"/>
      <c r="C187" s="2057">
        <v>833414.22</v>
      </c>
      <c r="D187" s="2057">
        <v>638316.1100000001</v>
      </c>
      <c r="E187" s="2058">
        <v>684246.91</v>
      </c>
      <c r="F187" s="2059">
        <v>1539572.842094752</v>
      </c>
      <c r="G187" s="2057">
        <v>1562234.1428571427</v>
      </c>
      <c r="H187" s="2060">
        <v>1562234.1428571427</v>
      </c>
      <c r="I187" s="2061">
        <v>2104836.0006060004</v>
      </c>
      <c r="J187" s="2057">
        <v>2231126.1606423599</v>
      </c>
      <c r="K187" s="2058">
        <v>2364993.7302809018</v>
      </c>
      <c r="L187" s="206"/>
      <c r="M187" s="207"/>
      <c r="N187" s="207"/>
      <c r="O187" s="207"/>
      <c r="P187" s="207"/>
      <c r="Q187" s="207"/>
      <c r="R187" s="207"/>
      <c r="S187" s="207"/>
      <c r="T187" s="207"/>
      <c r="U187" s="207"/>
      <c r="V187" s="207"/>
      <c r="W187" s="207"/>
    </row>
    <row r="188" spans="1:23" ht="11.25" customHeight="1" x14ac:dyDescent="0.25">
      <c r="A188" s="942" t="s">
        <v>2323</v>
      </c>
      <c r="B188" s="843"/>
      <c r="C188" s="2057">
        <v>1765906.7479741189</v>
      </c>
      <c r="D188" s="2057">
        <v>2013901.2363080103</v>
      </c>
      <c r="E188" s="2058">
        <v>2815869.0599999996</v>
      </c>
      <c r="F188" s="2059">
        <v>0</v>
      </c>
      <c r="G188" s="2057">
        <v>8910056</v>
      </c>
      <c r="H188" s="2060">
        <v>8910056</v>
      </c>
      <c r="I188" s="2061">
        <v>5527449.6308119996</v>
      </c>
      <c r="J188" s="2057">
        <v>5859096.6086607203</v>
      </c>
      <c r="K188" s="2058">
        <v>6210642.4051803648</v>
      </c>
      <c r="L188" s="206"/>
      <c r="M188" s="207"/>
      <c r="N188" s="207"/>
      <c r="O188" s="207"/>
      <c r="P188" s="207"/>
      <c r="Q188" s="207"/>
      <c r="R188" s="207"/>
      <c r="S188" s="207"/>
      <c r="T188" s="207"/>
      <c r="U188" s="207"/>
      <c r="V188" s="207"/>
      <c r="W188" s="207"/>
    </row>
    <row r="189" spans="1:23" ht="11.25" customHeight="1" x14ac:dyDescent="0.25">
      <c r="A189" s="942" t="s">
        <v>2324</v>
      </c>
      <c r="B189" s="843"/>
      <c r="C189" s="2057">
        <v>1007050.71</v>
      </c>
      <c r="D189" s="2057">
        <v>11569779.829699997</v>
      </c>
      <c r="E189" s="2058">
        <v>14558869.219999999</v>
      </c>
      <c r="F189" s="2059">
        <v>0</v>
      </c>
      <c r="G189" s="2057">
        <v>11755260</v>
      </c>
      <c r="H189" s="2060">
        <v>11755260</v>
      </c>
      <c r="I189" s="2061">
        <v>14879419.536412001</v>
      </c>
      <c r="J189" s="2057">
        <v>15772184.708596721</v>
      </c>
      <c r="K189" s="2058">
        <v>16718515.791112524</v>
      </c>
      <c r="L189" s="206"/>
      <c r="M189" s="207"/>
      <c r="N189" s="207"/>
      <c r="O189" s="207"/>
      <c r="P189" s="207"/>
      <c r="Q189" s="207"/>
      <c r="R189" s="207"/>
      <c r="S189" s="207"/>
      <c r="T189" s="207"/>
      <c r="U189" s="207"/>
      <c r="V189" s="207"/>
      <c r="W189" s="207"/>
    </row>
    <row r="190" spans="1:23" ht="11.25" customHeight="1" x14ac:dyDescent="0.25">
      <c r="A190" s="942" t="s">
        <v>2325</v>
      </c>
      <c r="B190" s="843"/>
      <c r="C190" s="2057">
        <v>1069.0999999999999</v>
      </c>
      <c r="D190" s="2057">
        <v>0</v>
      </c>
      <c r="E190" s="2058">
        <v>1205.1099999999999</v>
      </c>
      <c r="F190" s="2059">
        <v>120000</v>
      </c>
      <c r="G190" s="2057">
        <v>120000</v>
      </c>
      <c r="H190" s="2060">
        <v>120000</v>
      </c>
      <c r="I190" s="2061">
        <v>120000</v>
      </c>
      <c r="J190" s="2057">
        <v>127200</v>
      </c>
      <c r="K190" s="2058">
        <v>134832</v>
      </c>
      <c r="L190" s="206"/>
      <c r="M190" s="207"/>
      <c r="N190" s="207"/>
      <c r="O190" s="207"/>
      <c r="P190" s="207"/>
      <c r="Q190" s="207"/>
      <c r="R190" s="207"/>
      <c r="S190" s="207"/>
      <c r="T190" s="207"/>
      <c r="U190" s="207"/>
      <c r="V190" s="207"/>
      <c r="W190" s="207"/>
    </row>
    <row r="191" spans="1:23" ht="11.25" hidden="1" customHeight="1" x14ac:dyDescent="0.25">
      <c r="A191" s="942">
        <v>0</v>
      </c>
      <c r="B191" s="843"/>
      <c r="C191" s="1030"/>
      <c r="D191" s="1030"/>
      <c r="E191" s="1065"/>
      <c r="F191" s="1066"/>
      <c r="G191" s="1030"/>
      <c r="H191" s="1067"/>
      <c r="I191" s="1031"/>
      <c r="J191" s="1030"/>
      <c r="K191" s="1065"/>
      <c r="L191" s="206"/>
      <c r="M191" s="207"/>
      <c r="N191" s="207"/>
      <c r="O191" s="207"/>
      <c r="P191" s="207"/>
      <c r="Q191" s="207"/>
      <c r="R191" s="207"/>
      <c r="S191" s="207"/>
      <c r="T191" s="207"/>
      <c r="U191" s="207"/>
      <c r="V191" s="207"/>
      <c r="W191" s="207"/>
    </row>
    <row r="192" spans="1:23" ht="11.25" hidden="1" customHeight="1" x14ac:dyDescent="0.25">
      <c r="A192" s="942">
        <v>0</v>
      </c>
      <c r="B192" s="843"/>
      <c r="C192" s="1030"/>
      <c r="D192" s="1030"/>
      <c r="E192" s="1065"/>
      <c r="F192" s="1066"/>
      <c r="G192" s="1030"/>
      <c r="H192" s="1067"/>
      <c r="I192" s="1031"/>
      <c r="J192" s="1030"/>
      <c r="K192" s="1065"/>
      <c r="L192" s="206"/>
      <c r="M192" s="207"/>
      <c r="N192" s="207"/>
      <c r="O192" s="207"/>
      <c r="P192" s="207"/>
      <c r="Q192" s="207"/>
      <c r="R192" s="207"/>
      <c r="S192" s="207"/>
      <c r="T192" s="207"/>
      <c r="U192" s="207"/>
      <c r="V192" s="207"/>
      <c r="W192" s="207"/>
    </row>
    <row r="193" spans="1:23" ht="11.25" hidden="1" customHeight="1" x14ac:dyDescent="0.25">
      <c r="A193" s="942">
        <v>0</v>
      </c>
      <c r="B193" s="843"/>
      <c r="C193" s="1030"/>
      <c r="D193" s="1030"/>
      <c r="E193" s="1065"/>
      <c r="F193" s="1066"/>
      <c r="G193" s="1030"/>
      <c r="H193" s="1067"/>
      <c r="I193" s="1031"/>
      <c r="J193" s="1030"/>
      <c r="K193" s="1065"/>
      <c r="L193" s="206"/>
      <c r="M193" s="207"/>
      <c r="N193" s="207"/>
      <c r="O193" s="207"/>
      <c r="P193" s="207"/>
      <c r="Q193" s="207"/>
      <c r="R193" s="207"/>
      <c r="S193" s="207"/>
      <c r="T193" s="207"/>
      <c r="U193" s="207"/>
      <c r="V193" s="207"/>
      <c r="W193" s="207"/>
    </row>
    <row r="194" spans="1:23" ht="11.25" hidden="1" customHeight="1" x14ac:dyDescent="0.25">
      <c r="A194" s="942">
        <v>0</v>
      </c>
      <c r="B194" s="843"/>
      <c r="C194" s="1030"/>
      <c r="D194" s="1030"/>
      <c r="E194" s="1065"/>
      <c r="F194" s="1066"/>
      <c r="G194" s="1030"/>
      <c r="H194" s="1067"/>
      <c r="I194" s="1031"/>
      <c r="J194" s="1030"/>
      <c r="K194" s="1065"/>
      <c r="L194" s="206"/>
      <c r="M194" s="207"/>
      <c r="N194" s="207"/>
      <c r="O194" s="207"/>
      <c r="P194" s="207"/>
      <c r="Q194" s="207"/>
      <c r="R194" s="207"/>
      <c r="S194" s="207"/>
      <c r="T194" s="207"/>
      <c r="U194" s="207"/>
      <c r="V194" s="207"/>
      <c r="W194" s="207"/>
    </row>
    <row r="195" spans="1:23" ht="15" customHeight="1" x14ac:dyDescent="0.25">
      <c r="A195" s="941" t="s">
        <v>2376</v>
      </c>
      <c r="B195" s="846"/>
      <c r="C195" s="755">
        <v>5752859.9772365438</v>
      </c>
      <c r="D195" s="755">
        <v>8010450.4925565645</v>
      </c>
      <c r="E195" s="758">
        <v>9569701.9399999995</v>
      </c>
      <c r="F195" s="757">
        <v>12312049</v>
      </c>
      <c r="G195" s="755">
        <v>14022486</v>
      </c>
      <c r="H195" s="756">
        <v>14022486</v>
      </c>
      <c r="I195" s="1930">
        <v>14099010.668808</v>
      </c>
      <c r="J195" s="755">
        <v>14944951.30893648</v>
      </c>
      <c r="K195" s="758">
        <v>15841648.387472671</v>
      </c>
      <c r="L195" s="206"/>
      <c r="M195" s="207"/>
      <c r="N195" s="207"/>
      <c r="O195" s="207"/>
      <c r="P195" s="207"/>
      <c r="Q195" s="207"/>
      <c r="R195" s="207"/>
      <c r="S195" s="207"/>
      <c r="T195" s="207"/>
      <c r="U195" s="207"/>
      <c r="V195" s="207"/>
      <c r="W195" s="207"/>
    </row>
    <row r="196" spans="1:23" ht="11.25" customHeight="1" x14ac:dyDescent="0.25">
      <c r="A196" s="942" t="s">
        <v>2326</v>
      </c>
      <c r="B196" s="843"/>
      <c r="C196" s="2057">
        <v>5752859.9772365438</v>
      </c>
      <c r="D196" s="2057">
        <v>8010450.4925565645</v>
      </c>
      <c r="E196" s="2058">
        <v>9569701.9399999995</v>
      </c>
      <c r="F196" s="2059">
        <v>12312049</v>
      </c>
      <c r="G196" s="2057">
        <v>14022486</v>
      </c>
      <c r="H196" s="2060">
        <v>14022486</v>
      </c>
      <c r="I196" s="2061">
        <v>14099010.668808</v>
      </c>
      <c r="J196" s="2057">
        <v>14944951.30893648</v>
      </c>
      <c r="K196" s="2058">
        <v>15841648.387472671</v>
      </c>
      <c r="L196" s="206"/>
      <c r="M196" s="207"/>
      <c r="N196" s="207"/>
      <c r="O196" s="207"/>
      <c r="P196" s="207"/>
      <c r="Q196" s="207"/>
      <c r="R196" s="207"/>
      <c r="S196" s="207"/>
      <c r="T196" s="207"/>
      <c r="U196" s="207"/>
      <c r="V196" s="207"/>
      <c r="W196" s="207"/>
    </row>
    <row r="197" spans="1:23" ht="11.25" hidden="1" customHeight="1" x14ac:dyDescent="0.25">
      <c r="A197" s="942">
        <v>0</v>
      </c>
      <c r="B197" s="843"/>
      <c r="C197" s="1030"/>
      <c r="D197" s="1030"/>
      <c r="E197" s="1065"/>
      <c r="F197" s="1066"/>
      <c r="G197" s="1030"/>
      <c r="H197" s="1067"/>
      <c r="I197" s="1031"/>
      <c r="J197" s="1030"/>
      <c r="K197" s="1065"/>
      <c r="L197" s="206"/>
      <c r="M197" s="207"/>
      <c r="N197" s="207"/>
      <c r="O197" s="207"/>
      <c r="P197" s="207"/>
      <c r="Q197" s="207"/>
      <c r="R197" s="207"/>
      <c r="S197" s="207"/>
      <c r="T197" s="207"/>
      <c r="U197" s="207"/>
      <c r="V197" s="207"/>
      <c r="W197" s="207"/>
    </row>
    <row r="198" spans="1:23" ht="11.25" hidden="1" customHeight="1" x14ac:dyDescent="0.25">
      <c r="A198" s="942">
        <v>0</v>
      </c>
      <c r="B198" s="843"/>
      <c r="C198" s="1030"/>
      <c r="D198" s="1030"/>
      <c r="E198" s="1065"/>
      <c r="F198" s="1066"/>
      <c r="G198" s="1030"/>
      <c r="H198" s="1067"/>
      <c r="I198" s="1031"/>
      <c r="J198" s="1030"/>
      <c r="K198" s="1065"/>
      <c r="L198" s="206"/>
      <c r="M198" s="207"/>
      <c r="N198" s="207"/>
      <c r="O198" s="207"/>
      <c r="P198" s="207"/>
      <c r="Q198" s="207"/>
      <c r="R198" s="207"/>
      <c r="S198" s="207"/>
      <c r="T198" s="207"/>
      <c r="U198" s="207"/>
      <c r="V198" s="207"/>
      <c r="W198" s="207"/>
    </row>
    <row r="199" spans="1:23" ht="11.25" hidden="1" customHeight="1" x14ac:dyDescent="0.25">
      <c r="A199" s="942">
        <v>0</v>
      </c>
      <c r="B199" s="843"/>
      <c r="C199" s="1030"/>
      <c r="D199" s="1030"/>
      <c r="E199" s="1065"/>
      <c r="F199" s="1066"/>
      <c r="G199" s="1030"/>
      <c r="H199" s="1067"/>
      <c r="I199" s="1031"/>
      <c r="J199" s="1030"/>
      <c r="K199" s="1065"/>
      <c r="L199" s="206"/>
      <c r="M199" s="207"/>
      <c r="N199" s="207"/>
      <c r="O199" s="207"/>
      <c r="P199" s="207"/>
      <c r="Q199" s="207"/>
      <c r="R199" s="207"/>
      <c r="S199" s="207"/>
      <c r="T199" s="207"/>
      <c r="U199" s="207"/>
      <c r="V199" s="207"/>
      <c r="W199" s="207"/>
    </row>
    <row r="200" spans="1:23" ht="11.25" hidden="1" customHeight="1" x14ac:dyDescent="0.25">
      <c r="A200" s="942">
        <v>0</v>
      </c>
      <c r="B200" s="843"/>
      <c r="C200" s="1030"/>
      <c r="D200" s="1030"/>
      <c r="E200" s="1065"/>
      <c r="F200" s="1066"/>
      <c r="G200" s="1030"/>
      <c r="H200" s="1067"/>
      <c r="I200" s="1031"/>
      <c r="J200" s="1030"/>
      <c r="K200" s="1065"/>
      <c r="L200" s="206"/>
      <c r="M200" s="207"/>
      <c r="N200" s="207"/>
      <c r="O200" s="207"/>
      <c r="P200" s="207"/>
      <c r="Q200" s="207"/>
      <c r="R200" s="207"/>
      <c r="S200" s="207"/>
      <c r="T200" s="207"/>
      <c r="U200" s="207"/>
      <c r="V200" s="207"/>
      <c r="W200" s="207"/>
    </row>
    <row r="201" spans="1:23" ht="11.25" hidden="1" customHeight="1" x14ac:dyDescent="0.25">
      <c r="A201" s="942">
        <v>0</v>
      </c>
      <c r="B201" s="843"/>
      <c r="C201" s="1030"/>
      <c r="D201" s="1030"/>
      <c r="E201" s="1065"/>
      <c r="F201" s="1066"/>
      <c r="G201" s="1030"/>
      <c r="H201" s="1067"/>
      <c r="I201" s="1031"/>
      <c r="J201" s="1030"/>
      <c r="K201" s="1065"/>
      <c r="L201" s="206"/>
      <c r="M201" s="207"/>
      <c r="N201" s="207"/>
      <c r="O201" s="207"/>
      <c r="P201" s="207"/>
      <c r="Q201" s="207"/>
      <c r="R201" s="207"/>
      <c r="S201" s="207"/>
      <c r="T201" s="207"/>
      <c r="U201" s="207"/>
      <c r="V201" s="207"/>
      <c r="W201" s="207"/>
    </row>
    <row r="202" spans="1:23" ht="11.25" hidden="1" customHeight="1" x14ac:dyDescent="0.25">
      <c r="A202" s="942">
        <v>0</v>
      </c>
      <c r="B202" s="843"/>
      <c r="C202" s="1030"/>
      <c r="D202" s="1030"/>
      <c r="E202" s="1065"/>
      <c r="F202" s="1066"/>
      <c r="G202" s="1030"/>
      <c r="H202" s="1067"/>
      <c r="I202" s="1031"/>
      <c r="J202" s="1030"/>
      <c r="K202" s="1065"/>
      <c r="L202" s="206"/>
      <c r="M202" s="207"/>
      <c r="N202" s="207"/>
      <c r="O202" s="207"/>
      <c r="P202" s="207"/>
      <c r="Q202" s="207"/>
      <c r="R202" s="207"/>
      <c r="S202" s="207"/>
      <c r="T202" s="207"/>
      <c r="U202" s="207"/>
      <c r="V202" s="207"/>
      <c r="W202" s="207"/>
    </row>
    <row r="203" spans="1:23" ht="11.25" hidden="1" customHeight="1" x14ac:dyDescent="0.25">
      <c r="A203" s="942">
        <v>0</v>
      </c>
      <c r="B203" s="843"/>
      <c r="C203" s="1030"/>
      <c r="D203" s="1030"/>
      <c r="E203" s="1065"/>
      <c r="F203" s="1066"/>
      <c r="G203" s="1030"/>
      <c r="H203" s="1067"/>
      <c r="I203" s="1031"/>
      <c r="J203" s="1030"/>
      <c r="K203" s="1065"/>
      <c r="L203" s="206"/>
      <c r="M203" s="207"/>
      <c r="N203" s="207"/>
      <c r="O203" s="207"/>
      <c r="P203" s="207"/>
      <c r="Q203" s="207"/>
      <c r="R203" s="207"/>
      <c r="S203" s="207"/>
      <c r="T203" s="207"/>
      <c r="U203" s="207"/>
      <c r="V203" s="207"/>
      <c r="W203" s="207"/>
    </row>
    <row r="204" spans="1:23" ht="11.25" hidden="1" customHeight="1" x14ac:dyDescent="0.25">
      <c r="A204" s="942">
        <v>0</v>
      </c>
      <c r="B204" s="843"/>
      <c r="C204" s="1030"/>
      <c r="D204" s="1030"/>
      <c r="E204" s="1065"/>
      <c r="F204" s="1066"/>
      <c r="G204" s="1030"/>
      <c r="H204" s="1067"/>
      <c r="I204" s="1031"/>
      <c r="J204" s="1030"/>
      <c r="K204" s="1065"/>
      <c r="L204" s="206"/>
      <c r="M204" s="207"/>
      <c r="N204" s="207"/>
      <c r="O204" s="207"/>
      <c r="P204" s="207"/>
      <c r="Q204" s="207"/>
      <c r="R204" s="207"/>
      <c r="S204" s="207"/>
      <c r="T204" s="207"/>
      <c r="U204" s="207"/>
      <c r="V204" s="207"/>
      <c r="W204" s="207"/>
    </row>
    <row r="205" spans="1:23" ht="11.25" hidden="1" customHeight="1" x14ac:dyDescent="0.25">
      <c r="A205" s="942">
        <v>0</v>
      </c>
      <c r="B205" s="843"/>
      <c r="C205" s="1030"/>
      <c r="D205" s="1030"/>
      <c r="E205" s="1065"/>
      <c r="F205" s="1066"/>
      <c r="G205" s="1030"/>
      <c r="H205" s="1067"/>
      <c r="I205" s="1031"/>
      <c r="J205" s="1030"/>
      <c r="K205" s="1065"/>
      <c r="L205" s="206"/>
      <c r="M205" s="207"/>
      <c r="N205" s="207"/>
      <c r="O205" s="207"/>
      <c r="P205" s="207"/>
      <c r="Q205" s="207"/>
      <c r="R205" s="207"/>
      <c r="S205" s="207"/>
      <c r="T205" s="207"/>
      <c r="U205" s="207"/>
      <c r="V205" s="207"/>
      <c r="W205" s="207"/>
    </row>
    <row r="206" spans="1:23" ht="15" customHeight="1" x14ac:dyDescent="0.25">
      <c r="A206" s="941" t="s">
        <v>2377</v>
      </c>
      <c r="B206" s="846"/>
      <c r="C206" s="755">
        <v>3380476.3800000004</v>
      </c>
      <c r="D206" s="755">
        <v>3858513.4914259491</v>
      </c>
      <c r="E206" s="758">
        <v>3816751.8799999994</v>
      </c>
      <c r="F206" s="757">
        <v>4277883.5493879998</v>
      </c>
      <c r="G206" s="755">
        <v>5215333</v>
      </c>
      <c r="H206" s="756">
        <v>5215333</v>
      </c>
      <c r="I206" s="1930">
        <v>7277657.0223940797</v>
      </c>
      <c r="J206" s="755">
        <v>5594316.4437377248</v>
      </c>
      <c r="K206" s="758">
        <v>5929975.4303619899</v>
      </c>
      <c r="L206" s="206"/>
      <c r="M206" s="207"/>
      <c r="N206" s="207"/>
      <c r="O206" s="207"/>
      <c r="P206" s="207"/>
      <c r="Q206" s="207"/>
      <c r="R206" s="207"/>
      <c r="S206" s="207"/>
      <c r="T206" s="207"/>
      <c r="U206" s="207"/>
      <c r="V206" s="207"/>
      <c r="W206" s="207"/>
    </row>
    <row r="207" spans="1:23" ht="11.25" customHeight="1" x14ac:dyDescent="0.25">
      <c r="A207" s="942" t="s">
        <v>2327</v>
      </c>
      <c r="B207" s="843"/>
      <c r="C207" s="2057">
        <v>2751651.0900000003</v>
      </c>
      <c r="D207" s="2057">
        <v>3654216.5514259492</v>
      </c>
      <c r="E207" s="2058">
        <v>3627598.6699999995</v>
      </c>
      <c r="F207" s="2059">
        <v>4277883.5493879998</v>
      </c>
      <c r="G207" s="2057">
        <v>4256795</v>
      </c>
      <c r="H207" s="2060">
        <v>4256795</v>
      </c>
      <c r="I207" s="2061">
        <v>6303657.881972</v>
      </c>
      <c r="J207" s="2057">
        <v>4561877.3548903205</v>
      </c>
      <c r="K207" s="2058">
        <v>4835589.99618374</v>
      </c>
      <c r="L207" s="206"/>
      <c r="M207" s="207"/>
      <c r="N207" s="207"/>
      <c r="O207" s="207"/>
      <c r="P207" s="207"/>
      <c r="Q207" s="207"/>
      <c r="R207" s="207"/>
      <c r="S207" s="207"/>
      <c r="T207" s="207"/>
      <c r="U207" s="207"/>
      <c r="V207" s="207"/>
      <c r="W207" s="207"/>
    </row>
    <row r="208" spans="1:23" ht="11.25" customHeight="1" x14ac:dyDescent="0.25">
      <c r="A208" s="942" t="s">
        <v>2328</v>
      </c>
      <c r="B208" s="843"/>
      <c r="C208" s="2057">
        <v>628825.29</v>
      </c>
      <c r="D208" s="2057">
        <v>204296.94</v>
      </c>
      <c r="E208" s="2058">
        <v>189153.21</v>
      </c>
      <c r="F208" s="2059">
        <v>0</v>
      </c>
      <c r="G208" s="2057">
        <v>958538</v>
      </c>
      <c r="H208" s="2060">
        <v>958538</v>
      </c>
      <c r="I208" s="2061">
        <v>973999.14042208006</v>
      </c>
      <c r="J208" s="2057">
        <v>1032439.0888474047</v>
      </c>
      <c r="K208" s="2058">
        <v>1094385.4341782494</v>
      </c>
      <c r="L208" s="206"/>
      <c r="M208" s="207"/>
      <c r="N208" s="207"/>
      <c r="O208" s="207"/>
      <c r="P208" s="207"/>
      <c r="Q208" s="207"/>
      <c r="R208" s="207"/>
      <c r="S208" s="207"/>
      <c r="T208" s="207"/>
      <c r="U208" s="207"/>
      <c r="V208" s="207"/>
      <c r="W208" s="207"/>
    </row>
    <row r="209" spans="1:23" ht="11.25" customHeight="1" x14ac:dyDescent="0.25">
      <c r="A209" s="942" t="s">
        <v>2329</v>
      </c>
      <c r="B209" s="843"/>
      <c r="C209" s="2057">
        <v>0</v>
      </c>
      <c r="D209" s="2057">
        <v>0</v>
      </c>
      <c r="E209" s="2058">
        <v>0</v>
      </c>
      <c r="F209" s="2059">
        <v>0</v>
      </c>
      <c r="G209" s="2057">
        <v>0</v>
      </c>
      <c r="H209" s="2060">
        <v>0</v>
      </c>
      <c r="I209" s="2061">
        <v>0</v>
      </c>
      <c r="J209" s="2057">
        <v>0</v>
      </c>
      <c r="K209" s="2058">
        <v>0</v>
      </c>
      <c r="L209" s="206"/>
      <c r="M209" s="207"/>
      <c r="N209" s="207"/>
      <c r="O209" s="207"/>
      <c r="P209" s="207"/>
      <c r="Q209" s="207"/>
      <c r="R209" s="207"/>
      <c r="S209" s="207"/>
      <c r="T209" s="207"/>
      <c r="U209" s="207"/>
      <c r="V209" s="207"/>
      <c r="W209" s="207"/>
    </row>
    <row r="210" spans="1:23" ht="11.25" hidden="1" customHeight="1" x14ac:dyDescent="0.25">
      <c r="A210" s="942">
        <v>0</v>
      </c>
      <c r="B210" s="843"/>
      <c r="C210" s="1030"/>
      <c r="D210" s="1030"/>
      <c r="E210" s="1065"/>
      <c r="F210" s="1066"/>
      <c r="G210" s="1030"/>
      <c r="H210" s="1067"/>
      <c r="I210" s="1031"/>
      <c r="J210" s="1030"/>
      <c r="K210" s="1065"/>
      <c r="L210" s="206"/>
      <c r="M210" s="207"/>
      <c r="N210" s="207"/>
      <c r="O210" s="207"/>
      <c r="P210" s="207"/>
      <c r="Q210" s="207"/>
      <c r="R210" s="207"/>
      <c r="S210" s="207"/>
      <c r="T210" s="207"/>
      <c r="U210" s="207"/>
      <c r="V210" s="207"/>
      <c r="W210" s="207"/>
    </row>
    <row r="211" spans="1:23" ht="11.25" hidden="1" customHeight="1" x14ac:dyDescent="0.25">
      <c r="A211" s="942">
        <v>0</v>
      </c>
      <c r="B211" s="843"/>
      <c r="C211" s="1030"/>
      <c r="D211" s="1030"/>
      <c r="E211" s="1065"/>
      <c r="F211" s="1066"/>
      <c r="G211" s="1030"/>
      <c r="H211" s="1067"/>
      <c r="I211" s="1031"/>
      <c r="J211" s="1030"/>
      <c r="K211" s="1065"/>
      <c r="L211" s="206"/>
      <c r="M211" s="207"/>
      <c r="N211" s="207"/>
      <c r="O211" s="207"/>
      <c r="P211" s="207"/>
      <c r="Q211" s="207"/>
      <c r="R211" s="207"/>
      <c r="S211" s="207"/>
      <c r="T211" s="207"/>
      <c r="U211" s="207"/>
      <c r="V211" s="207"/>
      <c r="W211" s="207"/>
    </row>
    <row r="212" spans="1:23" ht="11.25" hidden="1" customHeight="1" x14ac:dyDescent="0.25">
      <c r="A212" s="942">
        <v>0</v>
      </c>
      <c r="B212" s="843"/>
      <c r="C212" s="1030"/>
      <c r="D212" s="1030"/>
      <c r="E212" s="1065"/>
      <c r="F212" s="1066"/>
      <c r="G212" s="1030"/>
      <c r="H212" s="1067"/>
      <c r="I212" s="1031"/>
      <c r="J212" s="1030"/>
      <c r="K212" s="1065"/>
      <c r="L212" s="206"/>
      <c r="M212" s="207"/>
      <c r="N212" s="207"/>
      <c r="O212" s="207"/>
      <c r="P212" s="207"/>
      <c r="Q212" s="207"/>
      <c r="R212" s="207"/>
      <c r="S212" s="207"/>
      <c r="T212" s="207"/>
      <c r="U212" s="207"/>
      <c r="V212" s="207"/>
      <c r="W212" s="207"/>
    </row>
    <row r="213" spans="1:23" ht="11.25" hidden="1" customHeight="1" x14ac:dyDescent="0.25">
      <c r="A213" s="942">
        <v>0</v>
      </c>
      <c r="B213" s="843"/>
      <c r="C213" s="1030"/>
      <c r="D213" s="1030"/>
      <c r="E213" s="1065"/>
      <c r="F213" s="1066"/>
      <c r="G213" s="1030"/>
      <c r="H213" s="1067"/>
      <c r="I213" s="1031"/>
      <c r="J213" s="1030"/>
      <c r="K213" s="1065"/>
      <c r="L213" s="206"/>
      <c r="M213" s="207"/>
      <c r="N213" s="207"/>
      <c r="O213" s="207"/>
      <c r="P213" s="207"/>
      <c r="Q213" s="207"/>
      <c r="R213" s="207"/>
      <c r="S213" s="207"/>
      <c r="T213" s="207"/>
      <c r="U213" s="207"/>
      <c r="V213" s="207"/>
      <c r="W213" s="207"/>
    </row>
    <row r="214" spans="1:23" ht="11.25" hidden="1" customHeight="1" x14ac:dyDescent="0.25">
      <c r="A214" s="942">
        <v>0</v>
      </c>
      <c r="B214" s="843"/>
      <c r="C214" s="1030"/>
      <c r="D214" s="1030"/>
      <c r="E214" s="1065"/>
      <c r="F214" s="1066"/>
      <c r="G214" s="1030"/>
      <c r="H214" s="1067"/>
      <c r="I214" s="1031"/>
      <c r="J214" s="1030"/>
      <c r="K214" s="1065"/>
      <c r="L214" s="206"/>
      <c r="M214" s="207"/>
      <c r="N214" s="207"/>
      <c r="O214" s="207"/>
      <c r="P214" s="207"/>
      <c r="Q214" s="207"/>
      <c r="R214" s="207"/>
      <c r="S214" s="207"/>
      <c r="T214" s="207"/>
      <c r="U214" s="207"/>
      <c r="V214" s="207"/>
      <c r="W214" s="207"/>
    </row>
    <row r="215" spans="1:23" ht="11.25" hidden="1" customHeight="1" x14ac:dyDescent="0.25">
      <c r="A215" s="942">
        <v>0</v>
      </c>
      <c r="B215" s="843"/>
      <c r="C215" s="1030"/>
      <c r="D215" s="1030"/>
      <c r="E215" s="1065"/>
      <c r="F215" s="1066"/>
      <c r="G215" s="1030"/>
      <c r="H215" s="1067"/>
      <c r="I215" s="1031"/>
      <c r="J215" s="1030"/>
      <c r="K215" s="1065"/>
      <c r="L215" s="206"/>
      <c r="M215" s="207"/>
      <c r="N215" s="207"/>
      <c r="O215" s="207"/>
      <c r="P215" s="207"/>
      <c r="Q215" s="207"/>
      <c r="R215" s="207"/>
      <c r="S215" s="207"/>
      <c r="T215" s="207"/>
      <c r="U215" s="207"/>
      <c r="V215" s="207"/>
      <c r="W215" s="207"/>
    </row>
    <row r="216" spans="1:23" ht="11.25" hidden="1" customHeight="1" x14ac:dyDescent="0.25">
      <c r="A216" s="942">
        <v>0</v>
      </c>
      <c r="B216" s="843"/>
      <c r="C216" s="1030"/>
      <c r="D216" s="1030"/>
      <c r="E216" s="1065"/>
      <c r="F216" s="1066"/>
      <c r="G216" s="1030"/>
      <c r="H216" s="1067"/>
      <c r="I216" s="1031"/>
      <c r="J216" s="1030"/>
      <c r="K216" s="1065"/>
      <c r="L216" s="206"/>
      <c r="M216" s="207"/>
      <c r="N216" s="207"/>
      <c r="O216" s="207"/>
      <c r="P216" s="207"/>
      <c r="Q216" s="207"/>
      <c r="R216" s="207"/>
      <c r="S216" s="207"/>
      <c r="T216" s="207"/>
      <c r="U216" s="207"/>
      <c r="V216" s="207"/>
      <c r="W216" s="207"/>
    </row>
    <row r="217" spans="1:23" ht="15" customHeight="1" x14ac:dyDescent="0.25">
      <c r="A217" s="941" t="s">
        <v>2378</v>
      </c>
      <c r="B217" s="846"/>
      <c r="C217" s="755">
        <v>139843.54</v>
      </c>
      <c r="D217" s="755">
        <v>148555.74</v>
      </c>
      <c r="E217" s="758">
        <v>149301.62</v>
      </c>
      <c r="F217" s="757">
        <v>322913</v>
      </c>
      <c r="G217" s="755">
        <v>100300</v>
      </c>
      <c r="H217" s="756">
        <v>100300</v>
      </c>
      <c r="I217" s="1930">
        <v>0</v>
      </c>
      <c r="J217" s="755">
        <v>0</v>
      </c>
      <c r="K217" s="758">
        <v>0</v>
      </c>
      <c r="L217" s="206"/>
      <c r="M217" s="207"/>
      <c r="N217" s="207"/>
      <c r="O217" s="207"/>
      <c r="P217" s="207"/>
      <c r="Q217" s="207"/>
      <c r="R217" s="207"/>
      <c r="S217" s="207"/>
      <c r="T217" s="207"/>
      <c r="U217" s="207"/>
      <c r="V217" s="207"/>
      <c r="W217" s="207"/>
    </row>
    <row r="218" spans="1:23" ht="11.25" customHeight="1" x14ac:dyDescent="0.25">
      <c r="A218" s="942" t="s">
        <v>2330</v>
      </c>
      <c r="B218" s="843"/>
      <c r="C218" s="2057">
        <v>139843.54</v>
      </c>
      <c r="D218" s="2057">
        <v>148555.74</v>
      </c>
      <c r="E218" s="2058">
        <v>149301.62</v>
      </c>
      <c r="F218" s="2059">
        <v>322913</v>
      </c>
      <c r="G218" s="2057">
        <v>100300</v>
      </c>
      <c r="H218" s="2060">
        <v>100300</v>
      </c>
      <c r="I218" s="2061">
        <v>0</v>
      </c>
      <c r="J218" s="2057">
        <v>0</v>
      </c>
      <c r="K218" s="2058">
        <v>0</v>
      </c>
      <c r="L218" s="206"/>
      <c r="M218" s="207"/>
      <c r="N218" s="207"/>
      <c r="O218" s="207"/>
      <c r="P218" s="207"/>
      <c r="Q218" s="207"/>
      <c r="R218" s="207"/>
      <c r="S218" s="207"/>
      <c r="T218" s="207"/>
      <c r="U218" s="207"/>
      <c r="V218" s="207"/>
      <c r="W218" s="207"/>
    </row>
    <row r="219" spans="1:23" ht="11.25" hidden="1" customHeight="1" x14ac:dyDescent="0.25">
      <c r="A219" s="942">
        <v>0</v>
      </c>
      <c r="B219" s="843"/>
      <c r="C219" s="1030"/>
      <c r="D219" s="1030"/>
      <c r="E219" s="1065"/>
      <c r="F219" s="1066"/>
      <c r="G219" s="1030"/>
      <c r="H219" s="1067"/>
      <c r="I219" s="1031"/>
      <c r="J219" s="1030"/>
      <c r="K219" s="1065"/>
      <c r="L219" s="206"/>
      <c r="M219" s="207"/>
      <c r="N219" s="207"/>
      <c r="O219" s="207"/>
      <c r="P219" s="207"/>
      <c r="Q219" s="207"/>
      <c r="R219" s="207"/>
      <c r="S219" s="207"/>
      <c r="T219" s="207"/>
      <c r="U219" s="207"/>
      <c r="V219" s="207"/>
      <c r="W219" s="207"/>
    </row>
    <row r="220" spans="1:23" ht="11.25" hidden="1" customHeight="1" x14ac:dyDescent="0.25">
      <c r="A220" s="942">
        <v>0</v>
      </c>
      <c r="B220" s="843"/>
      <c r="C220" s="1030"/>
      <c r="D220" s="1030"/>
      <c r="E220" s="1065"/>
      <c r="F220" s="1066"/>
      <c r="G220" s="1030"/>
      <c r="H220" s="1067"/>
      <c r="I220" s="1031"/>
      <c r="J220" s="1030"/>
      <c r="K220" s="1065"/>
      <c r="L220" s="206"/>
      <c r="M220" s="207"/>
      <c r="N220" s="207"/>
      <c r="O220" s="207"/>
      <c r="P220" s="207"/>
      <c r="Q220" s="207"/>
      <c r="R220" s="207"/>
      <c r="S220" s="207"/>
      <c r="T220" s="207"/>
      <c r="U220" s="207"/>
      <c r="V220" s="207"/>
      <c r="W220" s="207"/>
    </row>
    <row r="221" spans="1:23" ht="11.25" hidden="1" customHeight="1" x14ac:dyDescent="0.25">
      <c r="A221" s="942">
        <v>0</v>
      </c>
      <c r="B221" s="843"/>
      <c r="C221" s="1030"/>
      <c r="D221" s="1030"/>
      <c r="E221" s="1065"/>
      <c r="F221" s="1066"/>
      <c r="G221" s="1030"/>
      <c r="H221" s="1067"/>
      <c r="I221" s="1031"/>
      <c r="J221" s="1030"/>
      <c r="K221" s="1065"/>
      <c r="L221" s="206"/>
      <c r="M221" s="207"/>
      <c r="N221" s="207"/>
      <c r="O221" s="207"/>
      <c r="P221" s="207"/>
      <c r="Q221" s="207"/>
      <c r="R221" s="207"/>
      <c r="S221" s="207"/>
      <c r="T221" s="207"/>
      <c r="U221" s="207"/>
      <c r="V221" s="207"/>
      <c r="W221" s="207"/>
    </row>
    <row r="222" spans="1:23" ht="11.25" hidden="1" customHeight="1" x14ac:dyDescent="0.25">
      <c r="A222" s="942">
        <v>0</v>
      </c>
      <c r="B222" s="843"/>
      <c r="C222" s="1030"/>
      <c r="D222" s="1030"/>
      <c r="E222" s="1065"/>
      <c r="F222" s="1066"/>
      <c r="G222" s="1030"/>
      <c r="H222" s="1067"/>
      <c r="I222" s="1031"/>
      <c r="J222" s="1030"/>
      <c r="K222" s="1065"/>
      <c r="L222" s="206"/>
      <c r="M222" s="207"/>
      <c r="N222" s="207"/>
      <c r="O222" s="207"/>
      <c r="P222" s="207"/>
      <c r="Q222" s="207"/>
      <c r="R222" s="207"/>
      <c r="S222" s="207"/>
      <c r="T222" s="207"/>
      <c r="U222" s="207"/>
      <c r="V222" s="207"/>
      <c r="W222" s="207"/>
    </row>
    <row r="223" spans="1:23" ht="11.25" hidden="1" customHeight="1" x14ac:dyDescent="0.25">
      <c r="A223" s="942">
        <v>0</v>
      </c>
      <c r="B223" s="843"/>
      <c r="C223" s="1030"/>
      <c r="D223" s="1030"/>
      <c r="E223" s="1065"/>
      <c r="F223" s="1066"/>
      <c r="G223" s="1030"/>
      <c r="H223" s="1067"/>
      <c r="I223" s="1031"/>
      <c r="J223" s="1030"/>
      <c r="K223" s="1065"/>
      <c r="L223" s="206"/>
      <c r="M223" s="207"/>
      <c r="N223" s="207"/>
      <c r="O223" s="207"/>
      <c r="P223" s="207"/>
      <c r="Q223" s="207"/>
      <c r="R223" s="207"/>
      <c r="S223" s="207"/>
      <c r="T223" s="207"/>
      <c r="U223" s="207"/>
      <c r="V223" s="207"/>
      <c r="W223" s="207"/>
    </row>
    <row r="224" spans="1:23" ht="11.25" hidden="1" customHeight="1" x14ac:dyDescent="0.25">
      <c r="A224" s="942">
        <v>0</v>
      </c>
      <c r="B224" s="843"/>
      <c r="C224" s="1030"/>
      <c r="D224" s="1030"/>
      <c r="E224" s="1065"/>
      <c r="F224" s="1066"/>
      <c r="G224" s="1030"/>
      <c r="H224" s="1067"/>
      <c r="I224" s="1031"/>
      <c r="J224" s="1030"/>
      <c r="K224" s="1065"/>
      <c r="L224" s="206"/>
      <c r="M224" s="207"/>
      <c r="N224" s="207"/>
      <c r="O224" s="207"/>
      <c r="P224" s="207"/>
      <c r="Q224" s="207"/>
      <c r="R224" s="207"/>
      <c r="S224" s="207"/>
      <c r="T224" s="207"/>
      <c r="U224" s="207"/>
      <c r="V224" s="207"/>
      <c r="W224" s="207"/>
    </row>
    <row r="225" spans="1:23" ht="11.25" hidden="1" customHeight="1" x14ac:dyDescent="0.25">
      <c r="A225" s="942">
        <v>0</v>
      </c>
      <c r="B225" s="843"/>
      <c r="C225" s="1030"/>
      <c r="D225" s="1030"/>
      <c r="E225" s="1065"/>
      <c r="F225" s="1066"/>
      <c r="G225" s="1030"/>
      <c r="H225" s="1067"/>
      <c r="I225" s="1031"/>
      <c r="J225" s="1030"/>
      <c r="K225" s="1065"/>
      <c r="L225" s="206"/>
      <c r="M225" s="207"/>
      <c r="N225" s="207"/>
      <c r="O225" s="207"/>
      <c r="P225" s="207"/>
      <c r="Q225" s="207"/>
      <c r="R225" s="207"/>
      <c r="S225" s="207"/>
      <c r="T225" s="207"/>
      <c r="U225" s="207"/>
      <c r="V225" s="207"/>
      <c r="W225" s="207"/>
    </row>
    <row r="226" spans="1:23" ht="11.25" hidden="1" customHeight="1" x14ac:dyDescent="0.25">
      <c r="A226" s="942">
        <v>0</v>
      </c>
      <c r="B226" s="843"/>
      <c r="C226" s="1030"/>
      <c r="D226" s="1030"/>
      <c r="E226" s="1065"/>
      <c r="F226" s="1066"/>
      <c r="G226" s="1030"/>
      <c r="H226" s="1067"/>
      <c r="I226" s="1031"/>
      <c r="J226" s="1030"/>
      <c r="K226" s="1065"/>
      <c r="L226" s="206"/>
      <c r="M226" s="207"/>
      <c r="N226" s="207"/>
      <c r="O226" s="207"/>
      <c r="P226" s="207"/>
      <c r="Q226" s="207"/>
      <c r="R226" s="207"/>
      <c r="S226" s="207"/>
      <c r="T226" s="207"/>
      <c r="U226" s="207"/>
      <c r="V226" s="207"/>
      <c r="W226" s="207"/>
    </row>
    <row r="227" spans="1:23" ht="11.25" hidden="1" customHeight="1" x14ac:dyDescent="0.25">
      <c r="A227" s="942">
        <v>0</v>
      </c>
      <c r="B227" s="843"/>
      <c r="C227" s="1030"/>
      <c r="D227" s="1030"/>
      <c r="E227" s="1065"/>
      <c r="F227" s="1066"/>
      <c r="G227" s="1030"/>
      <c r="H227" s="1067"/>
      <c r="I227" s="1031"/>
      <c r="J227" s="1030"/>
      <c r="K227" s="1065"/>
      <c r="L227" s="206"/>
      <c r="M227" s="207"/>
      <c r="N227" s="207"/>
      <c r="O227" s="207"/>
      <c r="P227" s="207"/>
      <c r="Q227" s="207"/>
      <c r="R227" s="207"/>
      <c r="S227" s="207"/>
      <c r="T227" s="207"/>
      <c r="U227" s="207"/>
      <c r="V227" s="207"/>
      <c r="W227" s="207"/>
    </row>
    <row r="228" spans="1:23" ht="15" customHeight="1" x14ac:dyDescent="0.25">
      <c r="A228" s="941" t="s">
        <v>2379</v>
      </c>
      <c r="B228" s="846"/>
      <c r="C228" s="755">
        <v>4782108.4818619583</v>
      </c>
      <c r="D228" s="755">
        <v>7077618.7164780824</v>
      </c>
      <c r="E228" s="758">
        <v>10684757.439999998</v>
      </c>
      <c r="F228" s="757">
        <v>7059156</v>
      </c>
      <c r="G228" s="755">
        <v>7989335</v>
      </c>
      <c r="H228" s="756">
        <v>7989335</v>
      </c>
      <c r="I228" s="1930">
        <v>12970774.391064001</v>
      </c>
      <c r="J228" s="755">
        <v>13749020.85452784</v>
      </c>
      <c r="K228" s="758">
        <v>14573962.105799511</v>
      </c>
      <c r="L228" s="206"/>
      <c r="M228" s="207"/>
      <c r="N228" s="207"/>
      <c r="O228" s="207"/>
      <c r="P228" s="207"/>
      <c r="Q228" s="207"/>
      <c r="R228" s="207"/>
      <c r="S228" s="207"/>
      <c r="T228" s="207"/>
      <c r="U228" s="207"/>
      <c r="V228" s="207"/>
      <c r="W228" s="207"/>
    </row>
    <row r="229" spans="1:23" ht="11.25" customHeight="1" x14ac:dyDescent="0.25">
      <c r="A229" s="942" t="s">
        <v>2331</v>
      </c>
      <c r="B229" s="843"/>
      <c r="C229" s="2057">
        <v>4006499.6424999181</v>
      </c>
      <c r="D229" s="2057">
        <v>4094154.8264780827</v>
      </c>
      <c r="E229" s="2058">
        <v>4877747.26</v>
      </c>
      <c r="F229" s="2059">
        <v>5161380</v>
      </c>
      <c r="G229" s="2057">
        <v>6029059</v>
      </c>
      <c r="H229" s="2060">
        <v>6029059</v>
      </c>
      <c r="I229" s="2061">
        <v>8376580.5193680003</v>
      </c>
      <c r="J229" s="2057">
        <v>8879175.3505300805</v>
      </c>
      <c r="K229" s="2058">
        <v>9411925.8715618849</v>
      </c>
      <c r="L229" s="206"/>
      <c r="M229" s="207"/>
      <c r="N229" s="207"/>
      <c r="O229" s="207"/>
      <c r="P229" s="207"/>
      <c r="Q229" s="207"/>
      <c r="R229" s="207"/>
      <c r="S229" s="207"/>
      <c r="T229" s="207"/>
      <c r="U229" s="207"/>
      <c r="V229" s="207"/>
      <c r="W229" s="207"/>
    </row>
    <row r="230" spans="1:23" ht="11.25" customHeight="1" x14ac:dyDescent="0.25">
      <c r="A230" s="942" t="s">
        <v>2332</v>
      </c>
      <c r="B230" s="843"/>
      <c r="C230" s="2057">
        <v>764447.8793620402</v>
      </c>
      <c r="D230" s="2057">
        <v>2964780.5899999994</v>
      </c>
      <c r="E230" s="2058">
        <v>5802252.0299999993</v>
      </c>
      <c r="F230" s="2059">
        <v>1890776</v>
      </c>
      <c r="G230" s="2057">
        <v>1953276</v>
      </c>
      <c r="H230" s="2060">
        <v>1953276</v>
      </c>
      <c r="I230" s="2061">
        <v>4582193.8716960009</v>
      </c>
      <c r="J230" s="2057">
        <v>4857125.5039977599</v>
      </c>
      <c r="K230" s="2058">
        <v>5148553.034237626</v>
      </c>
      <c r="L230" s="206"/>
      <c r="M230" s="207"/>
      <c r="N230" s="207"/>
      <c r="O230" s="207"/>
      <c r="P230" s="207"/>
      <c r="Q230" s="207"/>
      <c r="R230" s="207"/>
      <c r="S230" s="207"/>
      <c r="T230" s="207"/>
      <c r="U230" s="207"/>
      <c r="V230" s="207"/>
      <c r="W230" s="207"/>
    </row>
    <row r="231" spans="1:23" ht="11.25" customHeight="1" x14ac:dyDescent="0.25">
      <c r="A231" s="942" t="s">
        <v>2333</v>
      </c>
      <c r="B231" s="843"/>
      <c r="C231" s="2057">
        <v>11160.96</v>
      </c>
      <c r="D231" s="2057">
        <v>18683.3</v>
      </c>
      <c r="E231" s="2058">
        <v>4509.04</v>
      </c>
      <c r="F231" s="2059">
        <v>7000</v>
      </c>
      <c r="G231" s="2057">
        <v>7000</v>
      </c>
      <c r="H231" s="2060">
        <v>7000</v>
      </c>
      <c r="I231" s="2061">
        <v>12000</v>
      </c>
      <c r="J231" s="2057">
        <v>12720</v>
      </c>
      <c r="K231" s="2058">
        <v>13483.2</v>
      </c>
      <c r="L231" s="206"/>
      <c r="M231" s="207"/>
      <c r="N231" s="207"/>
      <c r="O231" s="207"/>
      <c r="P231" s="207"/>
      <c r="Q231" s="207"/>
      <c r="R231" s="207"/>
      <c r="S231" s="207"/>
      <c r="T231" s="207"/>
      <c r="U231" s="207"/>
      <c r="V231" s="207"/>
      <c r="W231" s="207"/>
    </row>
    <row r="232" spans="1:23" ht="11.25" customHeight="1" x14ac:dyDescent="0.25">
      <c r="A232" s="942" t="s">
        <v>2334</v>
      </c>
      <c r="B232" s="843"/>
      <c r="C232" s="2057">
        <v>0</v>
      </c>
      <c r="D232" s="2057">
        <v>0</v>
      </c>
      <c r="E232" s="2058">
        <v>249.11</v>
      </c>
      <c r="F232" s="2059">
        <v>0</v>
      </c>
      <c r="G232" s="2057">
        <v>0</v>
      </c>
      <c r="H232" s="2060">
        <v>0</v>
      </c>
      <c r="I232" s="2061">
        <v>0</v>
      </c>
      <c r="J232" s="2057">
        <v>0</v>
      </c>
      <c r="K232" s="2058">
        <v>0</v>
      </c>
      <c r="L232" s="206"/>
      <c r="M232" s="207"/>
      <c r="N232" s="207"/>
      <c r="O232" s="207"/>
      <c r="P232" s="207"/>
      <c r="Q232" s="207"/>
      <c r="R232" s="207"/>
      <c r="S232" s="207"/>
      <c r="T232" s="207"/>
      <c r="U232" s="207"/>
      <c r="V232" s="207"/>
      <c r="W232" s="207"/>
    </row>
    <row r="233" spans="1:23" ht="11.25" hidden="1" customHeight="1" x14ac:dyDescent="0.25">
      <c r="A233" s="942">
        <v>0</v>
      </c>
      <c r="B233" s="843"/>
      <c r="C233" s="1030"/>
      <c r="D233" s="1030"/>
      <c r="E233" s="1065"/>
      <c r="F233" s="1066"/>
      <c r="G233" s="1030"/>
      <c r="H233" s="1067"/>
      <c r="I233" s="1031"/>
      <c r="J233" s="1030"/>
      <c r="K233" s="1065"/>
      <c r="L233" s="206"/>
      <c r="M233" s="207"/>
      <c r="N233" s="207"/>
      <c r="O233" s="207"/>
      <c r="P233" s="207"/>
      <c r="Q233" s="207"/>
      <c r="R233" s="207"/>
      <c r="S233" s="207"/>
      <c r="T233" s="207"/>
      <c r="U233" s="207"/>
      <c r="V233" s="207"/>
      <c r="W233" s="207"/>
    </row>
    <row r="234" spans="1:23" ht="11.25" hidden="1" customHeight="1" x14ac:dyDescent="0.25">
      <c r="A234" s="942">
        <v>0</v>
      </c>
      <c r="B234" s="843"/>
      <c r="C234" s="1030"/>
      <c r="D234" s="1030"/>
      <c r="E234" s="1065"/>
      <c r="F234" s="1066"/>
      <c r="G234" s="1030"/>
      <c r="H234" s="1067"/>
      <c r="I234" s="1031"/>
      <c r="J234" s="1030"/>
      <c r="K234" s="1065"/>
      <c r="L234" s="206"/>
      <c r="M234" s="207"/>
      <c r="N234" s="207"/>
      <c r="O234" s="207"/>
      <c r="P234" s="207"/>
      <c r="Q234" s="207"/>
      <c r="R234" s="207"/>
      <c r="S234" s="207"/>
      <c r="T234" s="207"/>
      <c r="U234" s="207"/>
      <c r="V234" s="207"/>
      <c r="W234" s="207"/>
    </row>
    <row r="235" spans="1:23" ht="11.25" hidden="1" customHeight="1" x14ac:dyDescent="0.25">
      <c r="A235" s="942">
        <v>0</v>
      </c>
      <c r="B235" s="843"/>
      <c r="C235" s="1030"/>
      <c r="D235" s="1030"/>
      <c r="E235" s="1065"/>
      <c r="F235" s="1066"/>
      <c r="G235" s="1030"/>
      <c r="H235" s="1067"/>
      <c r="I235" s="1031"/>
      <c r="J235" s="1030"/>
      <c r="K235" s="1065"/>
      <c r="L235" s="206"/>
      <c r="M235" s="207"/>
      <c r="N235" s="207"/>
      <c r="O235" s="207"/>
      <c r="P235" s="207"/>
      <c r="Q235" s="207"/>
      <c r="R235" s="207"/>
      <c r="S235" s="207"/>
      <c r="T235" s="207"/>
      <c r="U235" s="207"/>
      <c r="V235" s="207"/>
      <c r="W235" s="207"/>
    </row>
    <row r="236" spans="1:23" ht="11.25" hidden="1" customHeight="1" x14ac:dyDescent="0.25">
      <c r="A236" s="942">
        <v>0</v>
      </c>
      <c r="B236" s="843"/>
      <c r="C236" s="1030"/>
      <c r="D236" s="1030"/>
      <c r="E236" s="1065"/>
      <c r="F236" s="1066"/>
      <c r="G236" s="1030"/>
      <c r="H236" s="1067"/>
      <c r="I236" s="1031"/>
      <c r="J236" s="1030"/>
      <c r="K236" s="1065"/>
      <c r="L236" s="206"/>
      <c r="M236" s="207"/>
      <c r="N236" s="207"/>
      <c r="O236" s="207"/>
      <c r="P236" s="207"/>
      <c r="Q236" s="207"/>
      <c r="R236" s="207"/>
      <c r="S236" s="207"/>
      <c r="T236" s="207"/>
      <c r="U236" s="207"/>
      <c r="V236" s="207"/>
      <c r="W236" s="207"/>
    </row>
    <row r="237" spans="1:23" ht="11.25" hidden="1" customHeight="1" x14ac:dyDescent="0.25">
      <c r="A237" s="942">
        <v>0</v>
      </c>
      <c r="B237" s="843"/>
      <c r="C237" s="1030"/>
      <c r="D237" s="1030"/>
      <c r="E237" s="1065"/>
      <c r="F237" s="1066"/>
      <c r="G237" s="1030"/>
      <c r="H237" s="1067"/>
      <c r="I237" s="1031"/>
      <c r="J237" s="1030"/>
      <c r="K237" s="1065"/>
      <c r="L237" s="206"/>
      <c r="M237" s="207"/>
      <c r="N237" s="207"/>
      <c r="O237" s="207"/>
      <c r="P237" s="207"/>
      <c r="Q237" s="207"/>
      <c r="R237" s="207"/>
      <c r="S237" s="207"/>
      <c r="T237" s="207"/>
      <c r="U237" s="207"/>
      <c r="V237" s="207"/>
      <c r="W237" s="207"/>
    </row>
    <row r="238" spans="1:23" ht="11.25" hidden="1" customHeight="1" x14ac:dyDescent="0.25">
      <c r="A238" s="942">
        <v>0</v>
      </c>
      <c r="B238" s="843"/>
      <c r="C238" s="1030"/>
      <c r="D238" s="1030"/>
      <c r="E238" s="1065"/>
      <c r="F238" s="1066"/>
      <c r="G238" s="1030"/>
      <c r="H238" s="1067"/>
      <c r="I238" s="1031"/>
      <c r="J238" s="1030"/>
      <c r="K238" s="1065"/>
      <c r="L238" s="206"/>
      <c r="M238" s="207"/>
      <c r="N238" s="207"/>
      <c r="O238" s="207"/>
      <c r="P238" s="207"/>
      <c r="Q238" s="207"/>
      <c r="R238" s="207"/>
      <c r="S238" s="207"/>
      <c r="T238" s="207"/>
      <c r="U238" s="207"/>
      <c r="V238" s="207"/>
      <c r="W238" s="207"/>
    </row>
    <row r="239" spans="1:23" ht="15" customHeight="1" x14ac:dyDescent="0.25">
      <c r="A239" s="941" t="s">
        <v>2380</v>
      </c>
      <c r="B239" s="846"/>
      <c r="C239" s="755">
        <v>28629.749999999996</v>
      </c>
      <c r="D239" s="755">
        <v>14895.75</v>
      </c>
      <c r="E239" s="758">
        <v>163234.58000000002</v>
      </c>
      <c r="F239" s="757">
        <v>181500</v>
      </c>
      <c r="G239" s="755">
        <v>186400</v>
      </c>
      <c r="H239" s="756">
        <v>186400</v>
      </c>
      <c r="I239" s="1930">
        <v>335700</v>
      </c>
      <c r="J239" s="755">
        <v>355842</v>
      </c>
      <c r="K239" s="758">
        <v>377192.52</v>
      </c>
      <c r="L239" s="206"/>
      <c r="M239" s="207"/>
      <c r="N239" s="207"/>
      <c r="O239" s="207"/>
      <c r="P239" s="207"/>
      <c r="Q239" s="207"/>
      <c r="R239" s="207"/>
      <c r="S239" s="207"/>
      <c r="T239" s="207"/>
      <c r="U239" s="207"/>
      <c r="V239" s="207"/>
      <c r="W239" s="207"/>
    </row>
    <row r="240" spans="1:23" ht="11.25" customHeight="1" x14ac:dyDescent="0.25">
      <c r="A240" s="942" t="s">
        <v>2335</v>
      </c>
      <c r="B240" s="843"/>
      <c r="C240" s="2057">
        <v>28629.749999999996</v>
      </c>
      <c r="D240" s="2057">
        <v>14895.75</v>
      </c>
      <c r="E240" s="2058">
        <v>163234.58000000002</v>
      </c>
      <c r="F240" s="2059">
        <v>181500</v>
      </c>
      <c r="G240" s="2057">
        <v>186400</v>
      </c>
      <c r="H240" s="2060">
        <v>186400</v>
      </c>
      <c r="I240" s="2061">
        <v>335700</v>
      </c>
      <c r="J240" s="2057">
        <v>355842</v>
      </c>
      <c r="K240" s="2058">
        <v>377192.52</v>
      </c>
      <c r="L240" s="206"/>
      <c r="M240" s="207"/>
      <c r="N240" s="207"/>
      <c r="O240" s="207"/>
      <c r="P240" s="207"/>
      <c r="Q240" s="207"/>
      <c r="R240" s="207"/>
      <c r="S240" s="207"/>
      <c r="T240" s="207"/>
      <c r="U240" s="207"/>
      <c r="V240" s="207"/>
      <c r="W240" s="207"/>
    </row>
    <row r="241" spans="1:23" ht="11.25" hidden="1" customHeight="1" x14ac:dyDescent="0.25">
      <c r="A241" s="942">
        <v>0</v>
      </c>
      <c r="B241" s="843"/>
      <c r="C241" s="1030"/>
      <c r="D241" s="1030"/>
      <c r="E241" s="1065"/>
      <c r="F241" s="1066"/>
      <c r="G241" s="1030"/>
      <c r="H241" s="1067"/>
      <c r="I241" s="1031"/>
      <c r="J241" s="1030"/>
      <c r="K241" s="1065"/>
      <c r="L241" s="206"/>
      <c r="M241" s="207"/>
      <c r="N241" s="207"/>
      <c r="O241" s="207"/>
      <c r="P241" s="207"/>
      <c r="Q241" s="207"/>
      <c r="R241" s="207"/>
      <c r="S241" s="207"/>
      <c r="T241" s="207"/>
      <c r="U241" s="207"/>
      <c r="V241" s="207"/>
      <c r="W241" s="207"/>
    </row>
    <row r="242" spans="1:23" ht="11.25" hidden="1" customHeight="1" x14ac:dyDescent="0.25">
      <c r="A242" s="942">
        <v>0</v>
      </c>
      <c r="B242" s="843"/>
      <c r="C242" s="1030"/>
      <c r="D242" s="1030"/>
      <c r="E242" s="1065"/>
      <c r="F242" s="1066"/>
      <c r="G242" s="1030"/>
      <c r="H242" s="1067"/>
      <c r="I242" s="1031"/>
      <c r="J242" s="1030"/>
      <c r="K242" s="1065"/>
      <c r="L242" s="206"/>
      <c r="M242" s="207"/>
      <c r="N242" s="207"/>
      <c r="O242" s="207"/>
      <c r="P242" s="207"/>
      <c r="Q242" s="207"/>
      <c r="R242" s="207"/>
      <c r="S242" s="207"/>
      <c r="T242" s="207"/>
      <c r="U242" s="207"/>
      <c r="V242" s="207"/>
      <c r="W242" s="207"/>
    </row>
    <row r="243" spans="1:23" ht="11.25" hidden="1" customHeight="1" x14ac:dyDescent="0.25">
      <c r="A243" s="942">
        <v>0</v>
      </c>
      <c r="B243" s="843"/>
      <c r="C243" s="1030"/>
      <c r="D243" s="1030"/>
      <c r="E243" s="1065"/>
      <c r="F243" s="1066"/>
      <c r="G243" s="1030"/>
      <c r="H243" s="1067"/>
      <c r="I243" s="1031"/>
      <c r="J243" s="1030"/>
      <c r="K243" s="1065"/>
      <c r="L243" s="206"/>
      <c r="M243" s="207"/>
      <c r="N243" s="207"/>
      <c r="O243" s="207"/>
      <c r="P243" s="207"/>
      <c r="Q243" s="207"/>
      <c r="R243" s="207"/>
      <c r="S243" s="207"/>
      <c r="T243" s="207"/>
      <c r="U243" s="207"/>
      <c r="V243" s="207"/>
      <c r="W243" s="207"/>
    </row>
    <row r="244" spans="1:23" ht="11.25" hidden="1" customHeight="1" x14ac:dyDescent="0.25">
      <c r="A244" s="942">
        <v>0</v>
      </c>
      <c r="B244" s="843"/>
      <c r="C244" s="1030"/>
      <c r="D244" s="1030"/>
      <c r="E244" s="1065"/>
      <c r="F244" s="1066"/>
      <c r="G244" s="1030"/>
      <c r="H244" s="1067"/>
      <c r="I244" s="1031"/>
      <c r="J244" s="1030"/>
      <c r="K244" s="1065"/>
      <c r="L244" s="206"/>
      <c r="M244" s="207"/>
      <c r="N244" s="207"/>
      <c r="O244" s="207"/>
      <c r="P244" s="207"/>
      <c r="Q244" s="207"/>
      <c r="R244" s="207"/>
      <c r="S244" s="207"/>
      <c r="T244" s="207"/>
      <c r="U244" s="207"/>
      <c r="V244" s="207"/>
      <c r="W244" s="207"/>
    </row>
    <row r="245" spans="1:23" ht="11.25" hidden="1" customHeight="1" x14ac:dyDescent="0.25">
      <c r="A245" s="942">
        <v>0</v>
      </c>
      <c r="B245" s="843"/>
      <c r="C245" s="1030"/>
      <c r="D245" s="1030"/>
      <c r="E245" s="1065"/>
      <c r="F245" s="1066"/>
      <c r="G245" s="1030"/>
      <c r="H245" s="1067"/>
      <c r="I245" s="1031"/>
      <c r="J245" s="1030"/>
      <c r="K245" s="1065"/>
      <c r="L245" s="206"/>
      <c r="M245" s="207"/>
      <c r="N245" s="207"/>
      <c r="O245" s="207"/>
      <c r="P245" s="207"/>
      <c r="Q245" s="207"/>
      <c r="R245" s="207"/>
      <c r="S245" s="207"/>
      <c r="T245" s="207"/>
      <c r="U245" s="207"/>
      <c r="V245" s="207"/>
      <c r="W245" s="207"/>
    </row>
    <row r="246" spans="1:23" ht="11.25" hidden="1" customHeight="1" x14ac:dyDescent="0.25">
      <c r="A246" s="942">
        <v>0</v>
      </c>
      <c r="B246" s="843"/>
      <c r="C246" s="1030"/>
      <c r="D246" s="1030"/>
      <c r="E246" s="1065"/>
      <c r="F246" s="1066"/>
      <c r="G246" s="1030"/>
      <c r="H246" s="1067"/>
      <c r="I246" s="1031"/>
      <c r="J246" s="1030"/>
      <c r="K246" s="1065"/>
      <c r="L246" s="206"/>
      <c r="M246" s="207"/>
      <c r="N246" s="207"/>
      <c r="O246" s="207"/>
      <c r="P246" s="207"/>
      <c r="Q246" s="207"/>
      <c r="R246" s="207"/>
      <c r="S246" s="207"/>
      <c r="T246" s="207"/>
      <c r="U246" s="207"/>
      <c r="V246" s="207"/>
      <c r="W246" s="207"/>
    </row>
    <row r="247" spans="1:23" ht="11.25" hidden="1" customHeight="1" x14ac:dyDescent="0.25">
      <c r="A247" s="942">
        <v>0</v>
      </c>
      <c r="B247" s="843"/>
      <c r="C247" s="1030"/>
      <c r="D247" s="1030"/>
      <c r="E247" s="1065"/>
      <c r="F247" s="1066"/>
      <c r="G247" s="1030"/>
      <c r="H247" s="1067"/>
      <c r="I247" s="1031"/>
      <c r="J247" s="1030"/>
      <c r="K247" s="1065"/>
      <c r="L247" s="206"/>
      <c r="M247" s="207"/>
      <c r="N247" s="207"/>
      <c r="O247" s="207"/>
      <c r="P247" s="207"/>
      <c r="Q247" s="207"/>
      <c r="R247" s="207"/>
      <c r="S247" s="207"/>
      <c r="T247" s="207"/>
      <c r="U247" s="207"/>
      <c r="V247" s="207"/>
      <c r="W247" s="207"/>
    </row>
    <row r="248" spans="1:23" ht="11.25" hidden="1" customHeight="1" x14ac:dyDescent="0.25">
      <c r="A248" s="942">
        <v>0</v>
      </c>
      <c r="B248" s="843"/>
      <c r="C248" s="1030"/>
      <c r="D248" s="1030"/>
      <c r="E248" s="1065"/>
      <c r="F248" s="1066"/>
      <c r="G248" s="1030"/>
      <c r="H248" s="1067"/>
      <c r="I248" s="1031"/>
      <c r="J248" s="1030"/>
      <c r="K248" s="1065"/>
      <c r="L248" s="206"/>
      <c r="M248" s="207"/>
      <c r="N248" s="207"/>
      <c r="O248" s="207"/>
      <c r="P248" s="207"/>
      <c r="Q248" s="207"/>
      <c r="R248" s="207"/>
      <c r="S248" s="207"/>
      <c r="T248" s="207"/>
      <c r="U248" s="207"/>
      <c r="V248" s="207"/>
      <c r="W248" s="207"/>
    </row>
    <row r="249" spans="1:23" ht="11.25" hidden="1" customHeight="1" x14ac:dyDescent="0.25">
      <c r="A249" s="942">
        <v>0</v>
      </c>
      <c r="B249" s="843"/>
      <c r="C249" s="1030"/>
      <c r="D249" s="1030"/>
      <c r="E249" s="1065"/>
      <c r="F249" s="1066"/>
      <c r="G249" s="1030"/>
      <c r="H249" s="1067"/>
      <c r="I249" s="1031"/>
      <c r="J249" s="1030"/>
      <c r="K249" s="1065"/>
      <c r="L249" s="206"/>
      <c r="M249" s="207"/>
      <c r="N249" s="207"/>
      <c r="O249" s="207"/>
      <c r="P249" s="207"/>
      <c r="Q249" s="207"/>
      <c r="R249" s="207"/>
      <c r="S249" s="207"/>
      <c r="T249" s="207"/>
      <c r="U249" s="207"/>
      <c r="V249" s="207"/>
      <c r="W249" s="207"/>
    </row>
    <row r="250" spans="1:23" ht="15" customHeight="1" x14ac:dyDescent="0.25">
      <c r="A250" s="941" t="s">
        <v>2381</v>
      </c>
      <c r="B250" s="843"/>
      <c r="C250" s="755">
        <v>478718.32</v>
      </c>
      <c r="D250" s="755">
        <v>23738.29</v>
      </c>
      <c r="E250" s="758">
        <v>848.42</v>
      </c>
      <c r="F250" s="757">
        <v>169000</v>
      </c>
      <c r="G250" s="755">
        <v>120000</v>
      </c>
      <c r="H250" s="756">
        <v>120000</v>
      </c>
      <c r="I250" s="1930">
        <v>148410</v>
      </c>
      <c r="J250" s="755">
        <v>157314.6</v>
      </c>
      <c r="K250" s="758">
        <v>166753.476</v>
      </c>
      <c r="L250" s="206"/>
      <c r="M250" s="207"/>
      <c r="N250" s="207"/>
      <c r="O250" s="207"/>
      <c r="P250" s="207"/>
      <c r="Q250" s="207"/>
      <c r="R250" s="207"/>
      <c r="S250" s="207"/>
      <c r="T250" s="207"/>
      <c r="U250" s="207"/>
      <c r="V250" s="207"/>
      <c r="W250" s="207"/>
    </row>
    <row r="251" spans="1:23" ht="11.25" customHeight="1" x14ac:dyDescent="0.25">
      <c r="A251" s="942" t="s">
        <v>2336</v>
      </c>
      <c r="B251" s="843"/>
      <c r="C251" s="2057">
        <v>478718.32</v>
      </c>
      <c r="D251" s="2057">
        <v>23738.29</v>
      </c>
      <c r="E251" s="2058">
        <v>848.42</v>
      </c>
      <c r="F251" s="2059">
        <v>169000</v>
      </c>
      <c r="G251" s="2057">
        <v>120000</v>
      </c>
      <c r="H251" s="2060">
        <v>120000</v>
      </c>
      <c r="I251" s="2061">
        <v>148410</v>
      </c>
      <c r="J251" s="2057">
        <v>157314.6</v>
      </c>
      <c r="K251" s="2058">
        <v>166753.476</v>
      </c>
      <c r="L251" s="206"/>
      <c r="M251" s="207"/>
      <c r="N251" s="207"/>
      <c r="O251" s="207"/>
      <c r="P251" s="207"/>
      <c r="Q251" s="207"/>
      <c r="R251" s="207"/>
      <c r="S251" s="207"/>
      <c r="T251" s="207"/>
      <c r="U251" s="207"/>
      <c r="V251" s="207"/>
      <c r="W251" s="207"/>
    </row>
    <row r="252" spans="1:23" ht="11.25" hidden="1" customHeight="1" x14ac:dyDescent="0.25">
      <c r="A252" s="942">
        <v>0</v>
      </c>
      <c r="B252" s="843"/>
      <c r="C252" s="1030"/>
      <c r="D252" s="1030"/>
      <c r="E252" s="1065"/>
      <c r="F252" s="1066"/>
      <c r="G252" s="1030"/>
      <c r="H252" s="1067"/>
      <c r="I252" s="1031"/>
      <c r="J252" s="1030"/>
      <c r="K252" s="1065"/>
      <c r="L252" s="206"/>
      <c r="M252" s="207"/>
      <c r="N252" s="207"/>
      <c r="O252" s="207"/>
      <c r="P252" s="207"/>
      <c r="Q252" s="207"/>
      <c r="R252" s="207"/>
      <c r="S252" s="207"/>
      <c r="T252" s="207"/>
      <c r="U252" s="207"/>
      <c r="V252" s="207"/>
      <c r="W252" s="207"/>
    </row>
    <row r="253" spans="1:23" ht="11.25" hidden="1" customHeight="1" x14ac:dyDescent="0.25">
      <c r="A253" s="942">
        <v>0</v>
      </c>
      <c r="B253" s="843"/>
      <c r="C253" s="1030"/>
      <c r="D253" s="1030"/>
      <c r="E253" s="1065"/>
      <c r="F253" s="1066"/>
      <c r="G253" s="1030"/>
      <c r="H253" s="1067"/>
      <c r="I253" s="1031"/>
      <c r="J253" s="1030"/>
      <c r="K253" s="1065"/>
      <c r="L253" s="206"/>
      <c r="M253" s="207"/>
      <c r="N253" s="207"/>
      <c r="O253" s="207"/>
      <c r="P253" s="207"/>
      <c r="Q253" s="207"/>
      <c r="R253" s="207"/>
      <c r="S253" s="207"/>
      <c r="T253" s="207"/>
      <c r="U253" s="207"/>
      <c r="V253" s="207"/>
      <c r="W253" s="207"/>
    </row>
    <row r="254" spans="1:23" ht="11.25" hidden="1" customHeight="1" x14ac:dyDescent="0.25">
      <c r="A254" s="942">
        <v>0</v>
      </c>
      <c r="B254" s="843"/>
      <c r="C254" s="1030"/>
      <c r="D254" s="1030"/>
      <c r="E254" s="1065"/>
      <c r="F254" s="1066"/>
      <c r="G254" s="1030"/>
      <c r="H254" s="1067"/>
      <c r="I254" s="1031"/>
      <c r="J254" s="1030"/>
      <c r="K254" s="1065"/>
      <c r="L254" s="206"/>
      <c r="M254" s="207"/>
      <c r="N254" s="207"/>
      <c r="O254" s="207"/>
      <c r="P254" s="207"/>
      <c r="Q254" s="207"/>
      <c r="R254" s="207"/>
      <c r="S254" s="207"/>
      <c r="T254" s="207"/>
      <c r="U254" s="207"/>
      <c r="V254" s="207"/>
      <c r="W254" s="207"/>
    </row>
    <row r="255" spans="1:23" ht="11.25" hidden="1" customHeight="1" x14ac:dyDescent="0.25">
      <c r="A255" s="942">
        <v>0</v>
      </c>
      <c r="B255" s="843"/>
      <c r="C255" s="1030"/>
      <c r="D255" s="1030"/>
      <c r="E255" s="1065"/>
      <c r="F255" s="1066"/>
      <c r="G255" s="1030"/>
      <c r="H255" s="1067"/>
      <c r="I255" s="1031"/>
      <c r="J255" s="1030"/>
      <c r="K255" s="1065"/>
      <c r="L255" s="206"/>
      <c r="M255" s="207"/>
      <c r="N255" s="207"/>
      <c r="O255" s="207"/>
      <c r="P255" s="207"/>
      <c r="Q255" s="207"/>
      <c r="R255" s="207"/>
      <c r="S255" s="207"/>
      <c r="T255" s="207"/>
      <c r="U255" s="207"/>
      <c r="V255" s="207"/>
      <c r="W255" s="207"/>
    </row>
    <row r="256" spans="1:23" ht="11.25" hidden="1" customHeight="1" x14ac:dyDescent="0.25">
      <c r="A256" s="942">
        <v>0</v>
      </c>
      <c r="B256" s="843"/>
      <c r="C256" s="1030"/>
      <c r="D256" s="1030"/>
      <c r="E256" s="1065"/>
      <c r="F256" s="1066"/>
      <c r="G256" s="1030"/>
      <c r="H256" s="1067"/>
      <c r="I256" s="1031"/>
      <c r="J256" s="1030"/>
      <c r="K256" s="1065"/>
      <c r="L256" s="206"/>
      <c r="M256" s="207"/>
      <c r="N256" s="207"/>
      <c r="O256" s="207"/>
      <c r="P256" s="207"/>
      <c r="Q256" s="207"/>
      <c r="R256" s="207"/>
      <c r="S256" s="207"/>
      <c r="T256" s="207"/>
      <c r="U256" s="207"/>
      <c r="V256" s="207"/>
      <c r="W256" s="207"/>
    </row>
    <row r="257" spans="1:23" ht="11.25" hidden="1" customHeight="1" x14ac:dyDescent="0.25">
      <c r="A257" s="942">
        <v>0</v>
      </c>
      <c r="B257" s="843"/>
      <c r="C257" s="1030"/>
      <c r="D257" s="1030"/>
      <c r="E257" s="1065"/>
      <c r="F257" s="1066"/>
      <c r="G257" s="1030"/>
      <c r="H257" s="1067"/>
      <c r="I257" s="1031"/>
      <c r="J257" s="1030"/>
      <c r="K257" s="1065"/>
      <c r="L257" s="206"/>
      <c r="M257" s="207"/>
      <c r="N257" s="207"/>
      <c r="O257" s="207"/>
      <c r="P257" s="207"/>
      <c r="Q257" s="207"/>
      <c r="R257" s="207"/>
      <c r="S257" s="207"/>
      <c r="T257" s="207"/>
      <c r="U257" s="207"/>
      <c r="V257" s="207"/>
      <c r="W257" s="207"/>
    </row>
    <row r="258" spans="1:23" ht="11.25" hidden="1" customHeight="1" x14ac:dyDescent="0.25">
      <c r="A258" s="942">
        <v>0</v>
      </c>
      <c r="B258" s="843"/>
      <c r="C258" s="1030"/>
      <c r="D258" s="1030"/>
      <c r="E258" s="1065"/>
      <c r="F258" s="1066"/>
      <c r="G258" s="1030"/>
      <c r="H258" s="1067"/>
      <c r="I258" s="1031"/>
      <c r="J258" s="1030"/>
      <c r="K258" s="1065"/>
      <c r="L258" s="206"/>
      <c r="M258" s="207"/>
      <c r="N258" s="207"/>
      <c r="O258" s="207"/>
      <c r="P258" s="207"/>
      <c r="Q258" s="207"/>
      <c r="R258" s="207"/>
      <c r="S258" s="207"/>
      <c r="T258" s="207"/>
      <c r="U258" s="207"/>
      <c r="V258" s="207"/>
      <c r="W258" s="207"/>
    </row>
    <row r="259" spans="1:23" ht="11.25" hidden="1" customHeight="1" x14ac:dyDescent="0.25">
      <c r="A259" s="942">
        <v>0</v>
      </c>
      <c r="B259" s="843"/>
      <c r="C259" s="1030"/>
      <c r="D259" s="1030"/>
      <c r="E259" s="1065"/>
      <c r="F259" s="1066"/>
      <c r="G259" s="1030"/>
      <c r="H259" s="1067"/>
      <c r="I259" s="1031"/>
      <c r="J259" s="1030"/>
      <c r="K259" s="1065"/>
      <c r="L259" s="206"/>
      <c r="M259" s="207"/>
      <c r="N259" s="207"/>
      <c r="O259" s="207"/>
      <c r="P259" s="207"/>
      <c r="Q259" s="207"/>
      <c r="R259" s="207"/>
      <c r="S259" s="207"/>
      <c r="T259" s="207"/>
      <c r="U259" s="207"/>
      <c r="V259" s="207"/>
      <c r="W259" s="207"/>
    </row>
    <row r="260" spans="1:23" ht="11.25" hidden="1" customHeight="1" x14ac:dyDescent="0.25">
      <c r="A260" s="942">
        <v>0</v>
      </c>
      <c r="B260" s="843"/>
      <c r="C260" s="1030"/>
      <c r="D260" s="1030"/>
      <c r="E260" s="1065"/>
      <c r="F260" s="1066"/>
      <c r="G260" s="1030"/>
      <c r="H260" s="1067"/>
      <c r="I260" s="1031"/>
      <c r="J260" s="1030"/>
      <c r="K260" s="1065"/>
      <c r="L260" s="206"/>
      <c r="M260" s="207"/>
      <c r="N260" s="207"/>
      <c r="O260" s="207"/>
      <c r="P260" s="207"/>
      <c r="Q260" s="207"/>
      <c r="R260" s="207"/>
      <c r="S260" s="207"/>
      <c r="T260" s="207"/>
      <c r="U260" s="207"/>
      <c r="V260" s="207"/>
      <c r="W260" s="207"/>
    </row>
    <row r="261" spans="1:23" ht="15" customHeight="1" x14ac:dyDescent="0.25">
      <c r="A261" s="941" t="s">
        <v>2382</v>
      </c>
      <c r="B261" s="843"/>
      <c r="C261" s="755">
        <v>5178894.0200000005</v>
      </c>
      <c r="D261" s="755">
        <v>8088200.2027694117</v>
      </c>
      <c r="E261" s="758">
        <v>7528919.0258037793</v>
      </c>
      <c r="F261" s="757">
        <v>7645466</v>
      </c>
      <c r="G261" s="755">
        <v>8269883</v>
      </c>
      <c r="H261" s="756">
        <v>8269883</v>
      </c>
      <c r="I261" s="1930">
        <v>8042123.1337907203</v>
      </c>
      <c r="J261" s="755">
        <v>8524650.5218181629</v>
      </c>
      <c r="K261" s="758">
        <v>9036129.5531272553</v>
      </c>
      <c r="L261" s="206"/>
      <c r="M261" s="207"/>
      <c r="N261" s="207"/>
      <c r="O261" s="207"/>
      <c r="P261" s="207"/>
      <c r="Q261" s="207"/>
      <c r="R261" s="207"/>
      <c r="S261" s="207"/>
      <c r="T261" s="207"/>
      <c r="U261" s="207"/>
      <c r="V261" s="207"/>
      <c r="W261" s="207"/>
    </row>
    <row r="262" spans="1:23" ht="11.25" customHeight="1" x14ac:dyDescent="0.25">
      <c r="A262" s="942" t="s">
        <v>2338</v>
      </c>
      <c r="B262" s="843"/>
      <c r="C262" s="2057">
        <v>3112166</v>
      </c>
      <c r="D262" s="2057">
        <v>4262714.8435146604</v>
      </c>
      <c r="E262" s="2058">
        <v>4180255.5900000003</v>
      </c>
      <c r="F262" s="2059">
        <v>4181130</v>
      </c>
      <c r="G262" s="2057">
        <v>4675655</v>
      </c>
      <c r="H262" s="2060">
        <v>4675655</v>
      </c>
      <c r="I262" s="2061">
        <v>4321162.3413667204</v>
      </c>
      <c r="J262" s="2057">
        <v>4580432.0818487229</v>
      </c>
      <c r="K262" s="2058">
        <v>4855258.0067596473</v>
      </c>
      <c r="L262" s="206"/>
      <c r="M262" s="207"/>
      <c r="N262" s="207"/>
      <c r="O262" s="207"/>
      <c r="P262" s="207"/>
      <c r="Q262" s="207"/>
      <c r="R262" s="207"/>
      <c r="S262" s="207"/>
      <c r="T262" s="207"/>
      <c r="U262" s="207"/>
      <c r="V262" s="207"/>
      <c r="W262" s="207"/>
    </row>
    <row r="263" spans="1:23" ht="11.25" customHeight="1" x14ac:dyDescent="0.25">
      <c r="A263" s="942" t="s">
        <v>2337</v>
      </c>
      <c r="B263" s="843"/>
      <c r="C263" s="2057">
        <v>2066728.0200000003</v>
      </c>
      <c r="D263" s="2057">
        <v>3825485.3592547514</v>
      </c>
      <c r="E263" s="2058">
        <v>3348663.4358037789</v>
      </c>
      <c r="F263" s="2059">
        <v>3464336</v>
      </c>
      <c r="G263" s="2057">
        <v>3594228</v>
      </c>
      <c r="H263" s="2060">
        <v>3594228</v>
      </c>
      <c r="I263" s="2061">
        <v>3720960.7924240003</v>
      </c>
      <c r="J263" s="2057">
        <v>3944218.4399694405</v>
      </c>
      <c r="K263" s="2058">
        <v>4180871.5463676075</v>
      </c>
      <c r="L263" s="206"/>
      <c r="M263" s="207"/>
      <c r="N263" s="207"/>
      <c r="O263" s="207"/>
      <c r="P263" s="207"/>
      <c r="Q263" s="207"/>
      <c r="R263" s="207"/>
      <c r="S263" s="207"/>
      <c r="T263" s="207"/>
      <c r="U263" s="207"/>
      <c r="V263" s="207"/>
      <c r="W263" s="207"/>
    </row>
    <row r="264" spans="1:23" ht="11.25" hidden="1" customHeight="1" x14ac:dyDescent="0.25">
      <c r="A264" s="942">
        <v>0</v>
      </c>
      <c r="B264" s="843"/>
      <c r="C264" s="1030"/>
      <c r="D264" s="1030"/>
      <c r="E264" s="1065"/>
      <c r="F264" s="1066"/>
      <c r="G264" s="1030"/>
      <c r="H264" s="1067"/>
      <c r="I264" s="1031"/>
      <c r="J264" s="1030"/>
      <c r="K264" s="1065"/>
      <c r="L264" s="206"/>
      <c r="M264" s="207"/>
      <c r="N264" s="207"/>
      <c r="O264" s="207"/>
      <c r="P264" s="207"/>
      <c r="Q264" s="207"/>
      <c r="R264" s="207"/>
      <c r="S264" s="207"/>
      <c r="T264" s="207"/>
      <c r="U264" s="207"/>
      <c r="V264" s="207"/>
      <c r="W264" s="207"/>
    </row>
    <row r="265" spans="1:23" ht="11.25" hidden="1" customHeight="1" x14ac:dyDescent="0.25">
      <c r="A265" s="942">
        <v>0</v>
      </c>
      <c r="B265" s="843"/>
      <c r="C265" s="1030"/>
      <c r="D265" s="1030"/>
      <c r="E265" s="1065"/>
      <c r="F265" s="1066"/>
      <c r="G265" s="1030"/>
      <c r="H265" s="1067"/>
      <c r="I265" s="1031"/>
      <c r="J265" s="1030"/>
      <c r="K265" s="1065"/>
      <c r="L265" s="206"/>
      <c r="M265" s="207"/>
      <c r="N265" s="207"/>
      <c r="O265" s="207"/>
      <c r="P265" s="207"/>
      <c r="Q265" s="207"/>
      <c r="R265" s="207"/>
      <c r="S265" s="207"/>
      <c r="T265" s="207"/>
      <c r="U265" s="207"/>
      <c r="V265" s="207"/>
      <c r="W265" s="207"/>
    </row>
    <row r="266" spans="1:23" ht="11.25" hidden="1" customHeight="1" x14ac:dyDescent="0.25">
      <c r="A266" s="942">
        <v>0</v>
      </c>
      <c r="B266" s="843"/>
      <c r="C266" s="1030"/>
      <c r="D266" s="1030"/>
      <c r="E266" s="1065"/>
      <c r="F266" s="1066"/>
      <c r="G266" s="1030"/>
      <c r="H266" s="1067"/>
      <c r="I266" s="1031"/>
      <c r="J266" s="1030"/>
      <c r="K266" s="1065"/>
      <c r="L266" s="206"/>
      <c r="M266" s="207"/>
      <c r="N266" s="207"/>
      <c r="O266" s="207"/>
      <c r="P266" s="207"/>
      <c r="Q266" s="207"/>
      <c r="R266" s="207"/>
      <c r="S266" s="207"/>
      <c r="T266" s="207"/>
      <c r="U266" s="207"/>
      <c r="V266" s="207"/>
      <c r="W266" s="207"/>
    </row>
    <row r="267" spans="1:23" ht="11.25" hidden="1" customHeight="1" x14ac:dyDescent="0.25">
      <c r="A267" s="942">
        <v>0</v>
      </c>
      <c r="B267" s="843"/>
      <c r="C267" s="1030"/>
      <c r="D267" s="1030"/>
      <c r="E267" s="1065"/>
      <c r="F267" s="1066"/>
      <c r="G267" s="1030"/>
      <c r="H267" s="1067"/>
      <c r="I267" s="1031"/>
      <c r="J267" s="1030"/>
      <c r="K267" s="1065"/>
      <c r="L267" s="206"/>
      <c r="M267" s="207"/>
      <c r="N267" s="207"/>
      <c r="O267" s="207"/>
      <c r="P267" s="207"/>
      <c r="Q267" s="207"/>
      <c r="R267" s="207"/>
      <c r="S267" s="207"/>
      <c r="T267" s="207"/>
      <c r="U267" s="207"/>
      <c r="V267" s="207"/>
      <c r="W267" s="207"/>
    </row>
    <row r="268" spans="1:23" ht="11.25" hidden="1" customHeight="1" x14ac:dyDescent="0.25">
      <c r="A268" s="942">
        <v>0</v>
      </c>
      <c r="B268" s="843"/>
      <c r="C268" s="1030"/>
      <c r="D268" s="1030"/>
      <c r="E268" s="1065"/>
      <c r="F268" s="1066"/>
      <c r="G268" s="1030"/>
      <c r="H268" s="1067"/>
      <c r="I268" s="1031"/>
      <c r="J268" s="1030"/>
      <c r="K268" s="1065"/>
      <c r="L268" s="206"/>
      <c r="M268" s="207"/>
      <c r="N268" s="207"/>
      <c r="O268" s="207"/>
      <c r="P268" s="207"/>
      <c r="Q268" s="207"/>
      <c r="R268" s="207"/>
      <c r="S268" s="207"/>
      <c r="T268" s="207"/>
      <c r="U268" s="207"/>
      <c r="V268" s="207"/>
      <c r="W268" s="207"/>
    </row>
    <row r="269" spans="1:23" ht="11.25" hidden="1" customHeight="1" x14ac:dyDescent="0.25">
      <c r="A269" s="942">
        <v>0</v>
      </c>
      <c r="B269" s="843"/>
      <c r="C269" s="1030"/>
      <c r="D269" s="1030"/>
      <c r="E269" s="1065"/>
      <c r="F269" s="1066"/>
      <c r="G269" s="1030"/>
      <c r="H269" s="1067"/>
      <c r="I269" s="1031"/>
      <c r="J269" s="1030"/>
      <c r="K269" s="1065"/>
      <c r="L269" s="206"/>
      <c r="M269" s="207"/>
      <c r="N269" s="207"/>
      <c r="O269" s="207"/>
      <c r="P269" s="207"/>
      <c r="Q269" s="207"/>
      <c r="R269" s="207"/>
      <c r="S269" s="207"/>
      <c r="T269" s="207"/>
      <c r="U269" s="207"/>
      <c r="V269" s="207"/>
      <c r="W269" s="207"/>
    </row>
    <row r="270" spans="1:23" ht="11.25" hidden="1" customHeight="1" x14ac:dyDescent="0.25">
      <c r="A270" s="942">
        <v>0</v>
      </c>
      <c r="B270" s="843"/>
      <c r="C270" s="1030"/>
      <c r="D270" s="1030"/>
      <c r="E270" s="1065"/>
      <c r="F270" s="1066"/>
      <c r="G270" s="1030"/>
      <c r="H270" s="1067"/>
      <c r="I270" s="1031"/>
      <c r="J270" s="1030"/>
      <c r="K270" s="1065"/>
      <c r="L270" s="206"/>
      <c r="M270" s="207"/>
      <c r="N270" s="207"/>
      <c r="O270" s="207"/>
      <c r="P270" s="207"/>
      <c r="Q270" s="207"/>
      <c r="R270" s="207"/>
      <c r="S270" s="207"/>
      <c r="T270" s="207"/>
      <c r="U270" s="207"/>
      <c r="V270" s="207"/>
      <c r="W270" s="207"/>
    </row>
    <row r="271" spans="1:23" ht="11.25" hidden="1" customHeight="1" x14ac:dyDescent="0.25">
      <c r="A271" s="942">
        <v>0</v>
      </c>
      <c r="B271" s="843"/>
      <c r="C271" s="1030"/>
      <c r="D271" s="1030"/>
      <c r="E271" s="1065"/>
      <c r="F271" s="1066"/>
      <c r="G271" s="1030"/>
      <c r="H271" s="1067"/>
      <c r="I271" s="1031"/>
      <c r="J271" s="1030"/>
      <c r="K271" s="1065"/>
      <c r="L271" s="206"/>
      <c r="M271" s="207"/>
      <c r="N271" s="207"/>
      <c r="O271" s="207"/>
      <c r="P271" s="207"/>
      <c r="Q271" s="207"/>
      <c r="R271" s="207"/>
      <c r="S271" s="207"/>
      <c r="T271" s="207"/>
      <c r="U271" s="207"/>
      <c r="V271" s="207"/>
      <c r="W271" s="207"/>
    </row>
    <row r="272" spans="1:23" ht="15" customHeight="1" x14ac:dyDescent="0.25">
      <c r="A272" s="941" t="s">
        <v>2383</v>
      </c>
      <c r="B272" s="843"/>
      <c r="C272" s="755">
        <v>4991198.3595011821</v>
      </c>
      <c r="D272" s="755">
        <v>5404811.2172535928</v>
      </c>
      <c r="E272" s="758">
        <v>5497506.4400000004</v>
      </c>
      <c r="F272" s="757">
        <v>3719858</v>
      </c>
      <c r="G272" s="755">
        <v>2722681</v>
      </c>
      <c r="H272" s="756">
        <v>2722681</v>
      </c>
      <c r="I272" s="1930">
        <v>4382582.4433919992</v>
      </c>
      <c r="J272" s="755">
        <v>4645537.3899955209</v>
      </c>
      <c r="K272" s="758">
        <v>4924269.6333952518</v>
      </c>
      <c r="L272" s="206"/>
      <c r="M272" s="207"/>
      <c r="N272" s="207"/>
      <c r="O272" s="207"/>
      <c r="P272" s="207"/>
      <c r="Q272" s="207"/>
      <c r="R272" s="207"/>
      <c r="S272" s="207"/>
      <c r="T272" s="207"/>
      <c r="U272" s="207"/>
      <c r="V272" s="207"/>
      <c r="W272" s="207"/>
    </row>
    <row r="273" spans="1:23" ht="11.25" customHeight="1" x14ac:dyDescent="0.25">
      <c r="A273" s="942" t="s">
        <v>2339</v>
      </c>
      <c r="B273" s="843"/>
      <c r="C273" s="2057">
        <v>4991198.3595011821</v>
      </c>
      <c r="D273" s="2057">
        <v>5404811.2172535928</v>
      </c>
      <c r="E273" s="2058">
        <v>5497506.4400000004</v>
      </c>
      <c r="F273" s="2059">
        <v>3719858</v>
      </c>
      <c r="G273" s="2057">
        <v>2722681</v>
      </c>
      <c r="H273" s="2060">
        <v>2722681</v>
      </c>
      <c r="I273" s="2061">
        <v>4382582.4433919992</v>
      </c>
      <c r="J273" s="2057">
        <v>4645537.3899955209</v>
      </c>
      <c r="K273" s="2058">
        <v>4924269.6333952518</v>
      </c>
      <c r="L273" s="206"/>
      <c r="M273" s="207"/>
      <c r="N273" s="207"/>
      <c r="O273" s="207"/>
      <c r="P273" s="207"/>
      <c r="Q273" s="207"/>
      <c r="R273" s="207"/>
      <c r="S273" s="207"/>
      <c r="T273" s="207"/>
      <c r="U273" s="207"/>
      <c r="V273" s="207"/>
      <c r="W273" s="207"/>
    </row>
    <row r="274" spans="1:23" ht="11.25" hidden="1" customHeight="1" x14ac:dyDescent="0.25">
      <c r="A274" s="942">
        <v>0</v>
      </c>
      <c r="B274" s="843"/>
      <c r="C274" s="1030"/>
      <c r="D274" s="1030"/>
      <c r="E274" s="1065"/>
      <c r="F274" s="1066"/>
      <c r="G274" s="1030"/>
      <c r="H274" s="1067"/>
      <c r="I274" s="1031"/>
      <c r="J274" s="1030"/>
      <c r="K274" s="1065"/>
      <c r="L274" s="206"/>
      <c r="M274" s="207"/>
      <c r="N274" s="207"/>
      <c r="O274" s="207"/>
      <c r="P274" s="207"/>
      <c r="Q274" s="207"/>
      <c r="R274" s="207"/>
      <c r="S274" s="207"/>
      <c r="T274" s="207"/>
      <c r="U274" s="207"/>
      <c r="V274" s="207"/>
      <c r="W274" s="207"/>
    </row>
    <row r="275" spans="1:23" ht="11.25" hidden="1" customHeight="1" x14ac:dyDescent="0.25">
      <c r="A275" s="942">
        <v>0</v>
      </c>
      <c r="B275" s="843"/>
      <c r="C275" s="1030"/>
      <c r="D275" s="1030"/>
      <c r="E275" s="1065"/>
      <c r="F275" s="1066"/>
      <c r="G275" s="1030"/>
      <c r="H275" s="1067"/>
      <c r="I275" s="1031"/>
      <c r="J275" s="1030"/>
      <c r="K275" s="1065"/>
      <c r="L275" s="206"/>
      <c r="M275" s="207"/>
      <c r="N275" s="207"/>
      <c r="O275" s="207"/>
      <c r="P275" s="207"/>
      <c r="Q275" s="207"/>
      <c r="R275" s="207"/>
      <c r="S275" s="207"/>
      <c r="T275" s="207"/>
      <c r="U275" s="207"/>
      <c r="V275" s="207"/>
      <c r="W275" s="207"/>
    </row>
    <row r="276" spans="1:23" ht="11.25" hidden="1" customHeight="1" x14ac:dyDescent="0.25">
      <c r="A276" s="942">
        <v>0</v>
      </c>
      <c r="B276" s="843"/>
      <c r="C276" s="1030"/>
      <c r="D276" s="1030"/>
      <c r="E276" s="1065"/>
      <c r="F276" s="1066"/>
      <c r="G276" s="1030"/>
      <c r="H276" s="1067"/>
      <c r="I276" s="1031"/>
      <c r="J276" s="1030"/>
      <c r="K276" s="1065"/>
      <c r="L276" s="206"/>
      <c r="M276" s="207"/>
      <c r="N276" s="207"/>
      <c r="O276" s="207"/>
      <c r="P276" s="207"/>
      <c r="Q276" s="207"/>
      <c r="R276" s="207"/>
      <c r="S276" s="207"/>
      <c r="T276" s="207"/>
      <c r="U276" s="207"/>
      <c r="V276" s="207"/>
      <c r="W276" s="207"/>
    </row>
    <row r="277" spans="1:23" ht="11.25" hidden="1" customHeight="1" x14ac:dyDescent="0.25">
      <c r="A277" s="942">
        <v>0</v>
      </c>
      <c r="B277" s="843"/>
      <c r="C277" s="1030"/>
      <c r="D277" s="1030"/>
      <c r="E277" s="1065"/>
      <c r="F277" s="1066"/>
      <c r="G277" s="1030"/>
      <c r="H277" s="1067"/>
      <c r="I277" s="1031"/>
      <c r="J277" s="1030"/>
      <c r="K277" s="1065"/>
      <c r="L277" s="206"/>
      <c r="M277" s="207"/>
      <c r="N277" s="207"/>
      <c r="O277" s="207"/>
      <c r="P277" s="207"/>
      <c r="Q277" s="207"/>
      <c r="R277" s="207"/>
      <c r="S277" s="207"/>
      <c r="T277" s="207"/>
      <c r="U277" s="207"/>
      <c r="V277" s="207"/>
      <c r="W277" s="207"/>
    </row>
    <row r="278" spans="1:23" ht="11.25" hidden="1" customHeight="1" x14ac:dyDescent="0.25">
      <c r="A278" s="942">
        <v>0</v>
      </c>
      <c r="B278" s="843"/>
      <c r="C278" s="1030"/>
      <c r="D278" s="1030"/>
      <c r="E278" s="1065"/>
      <c r="F278" s="1066"/>
      <c r="G278" s="1030"/>
      <c r="H278" s="1067"/>
      <c r="I278" s="1031"/>
      <c r="J278" s="1030"/>
      <c r="K278" s="1065"/>
      <c r="L278" s="206"/>
      <c r="M278" s="207"/>
      <c r="N278" s="207"/>
      <c r="O278" s="207"/>
      <c r="P278" s="207"/>
      <c r="Q278" s="207"/>
      <c r="R278" s="207"/>
      <c r="S278" s="207"/>
      <c r="T278" s="207"/>
      <c r="U278" s="207"/>
      <c r="V278" s="207"/>
      <c r="W278" s="207"/>
    </row>
    <row r="279" spans="1:23" ht="11.25" hidden="1" customHeight="1" x14ac:dyDescent="0.25">
      <c r="A279" s="942">
        <v>0</v>
      </c>
      <c r="B279" s="843"/>
      <c r="C279" s="1030"/>
      <c r="D279" s="1030"/>
      <c r="E279" s="1065"/>
      <c r="F279" s="1066"/>
      <c r="G279" s="1030"/>
      <c r="H279" s="1067"/>
      <c r="I279" s="1031"/>
      <c r="J279" s="1030"/>
      <c r="K279" s="1065"/>
      <c r="L279" s="206"/>
      <c r="M279" s="207"/>
      <c r="N279" s="207"/>
      <c r="O279" s="207"/>
      <c r="P279" s="207"/>
      <c r="Q279" s="207"/>
      <c r="R279" s="207"/>
      <c r="S279" s="207"/>
      <c r="T279" s="207"/>
      <c r="U279" s="207"/>
      <c r="V279" s="207"/>
      <c r="W279" s="207"/>
    </row>
    <row r="280" spans="1:23" ht="11.25" hidden="1" customHeight="1" x14ac:dyDescent="0.25">
      <c r="A280" s="942">
        <v>0</v>
      </c>
      <c r="B280" s="843"/>
      <c r="C280" s="1030"/>
      <c r="D280" s="1030"/>
      <c r="E280" s="1065"/>
      <c r="F280" s="1066"/>
      <c r="G280" s="1030"/>
      <c r="H280" s="1067"/>
      <c r="I280" s="1031"/>
      <c r="J280" s="1030"/>
      <c r="K280" s="1065"/>
      <c r="L280" s="206"/>
      <c r="M280" s="207"/>
      <c r="N280" s="207"/>
      <c r="O280" s="207"/>
      <c r="P280" s="207"/>
      <c r="Q280" s="207"/>
      <c r="R280" s="207"/>
      <c r="S280" s="207"/>
      <c r="T280" s="207"/>
      <c r="U280" s="207"/>
      <c r="V280" s="207"/>
      <c r="W280" s="207"/>
    </row>
    <row r="281" spans="1:23" ht="11.25" hidden="1" customHeight="1" x14ac:dyDescent="0.25">
      <c r="A281" s="942">
        <v>0</v>
      </c>
      <c r="B281" s="843"/>
      <c r="C281" s="1030"/>
      <c r="D281" s="1030"/>
      <c r="E281" s="1065"/>
      <c r="F281" s="1066"/>
      <c r="G281" s="1030"/>
      <c r="H281" s="1067"/>
      <c r="I281" s="1031"/>
      <c r="J281" s="1030"/>
      <c r="K281" s="1065"/>
      <c r="L281" s="206"/>
      <c r="M281" s="207"/>
      <c r="N281" s="207"/>
      <c r="O281" s="207"/>
      <c r="P281" s="207"/>
      <c r="Q281" s="207"/>
      <c r="R281" s="207"/>
      <c r="S281" s="207"/>
      <c r="T281" s="207"/>
      <c r="U281" s="207"/>
      <c r="V281" s="207"/>
      <c r="W281" s="207"/>
    </row>
    <row r="282" spans="1:23" ht="11.25" hidden="1" customHeight="1" x14ac:dyDescent="0.25">
      <c r="A282" s="942">
        <v>0</v>
      </c>
      <c r="B282" s="843"/>
      <c r="C282" s="1030"/>
      <c r="D282" s="1030"/>
      <c r="E282" s="1065"/>
      <c r="F282" s="1066"/>
      <c r="G282" s="1030"/>
      <c r="H282" s="1067"/>
      <c r="I282" s="1031"/>
      <c r="J282" s="1030"/>
      <c r="K282" s="1065"/>
      <c r="L282" s="206"/>
      <c r="M282" s="207"/>
      <c r="N282" s="207"/>
      <c r="O282" s="207"/>
      <c r="P282" s="207"/>
      <c r="Q282" s="207"/>
      <c r="R282" s="207"/>
      <c r="S282" s="207"/>
      <c r="T282" s="207"/>
      <c r="U282" s="207"/>
      <c r="V282" s="207"/>
      <c r="W282" s="207"/>
    </row>
    <row r="283" spans="1:23" ht="15" hidden="1" customHeight="1" x14ac:dyDescent="0.25">
      <c r="A283" s="941" t="s">
        <v>2492</v>
      </c>
      <c r="B283" s="843"/>
      <c r="C283" s="755">
        <v>0</v>
      </c>
      <c r="D283" s="755">
        <v>0</v>
      </c>
      <c r="E283" s="758">
        <v>0</v>
      </c>
      <c r="F283" s="757">
        <v>0</v>
      </c>
      <c r="G283" s="755">
        <v>0</v>
      </c>
      <c r="H283" s="756">
        <v>0</v>
      </c>
      <c r="I283" s="1930">
        <v>0</v>
      </c>
      <c r="J283" s="755">
        <v>0</v>
      </c>
      <c r="K283" s="758">
        <v>0</v>
      </c>
      <c r="L283" s="206"/>
      <c r="M283" s="207"/>
      <c r="N283" s="207"/>
      <c r="O283" s="207"/>
      <c r="P283" s="207"/>
      <c r="Q283" s="207"/>
      <c r="R283" s="207"/>
      <c r="S283" s="207"/>
      <c r="T283" s="207"/>
      <c r="U283" s="207"/>
      <c r="V283" s="207"/>
      <c r="W283" s="207"/>
    </row>
    <row r="284" spans="1:23" ht="11.25" hidden="1" customHeight="1" x14ac:dyDescent="0.25">
      <c r="A284" s="942" t="s">
        <v>2035</v>
      </c>
      <c r="B284" s="843"/>
      <c r="C284" s="1030"/>
      <c r="D284" s="1030"/>
      <c r="E284" s="1065"/>
      <c r="F284" s="1066"/>
      <c r="G284" s="1030"/>
      <c r="H284" s="1067"/>
      <c r="I284" s="1031"/>
      <c r="J284" s="1030"/>
      <c r="K284" s="1065"/>
      <c r="L284" s="206"/>
      <c r="M284" s="207"/>
      <c r="N284" s="207"/>
      <c r="O284" s="207"/>
      <c r="P284" s="207"/>
      <c r="Q284" s="207"/>
      <c r="R284" s="207"/>
      <c r="S284" s="207"/>
      <c r="T284" s="207"/>
      <c r="U284" s="207"/>
      <c r="V284" s="207"/>
      <c r="W284" s="207"/>
    </row>
    <row r="285" spans="1:23" ht="11.25" hidden="1" customHeight="1" x14ac:dyDescent="0.25">
      <c r="A285" s="942">
        <v>0</v>
      </c>
      <c r="B285" s="843"/>
      <c r="C285" s="1030"/>
      <c r="D285" s="1030"/>
      <c r="E285" s="1065"/>
      <c r="F285" s="1066"/>
      <c r="G285" s="1030"/>
      <c r="H285" s="1067"/>
      <c r="I285" s="1031"/>
      <c r="J285" s="1030"/>
      <c r="K285" s="1065"/>
      <c r="L285" s="206"/>
      <c r="M285" s="207"/>
      <c r="N285" s="207"/>
      <c r="O285" s="207"/>
      <c r="P285" s="207"/>
      <c r="Q285" s="207"/>
      <c r="R285" s="207"/>
      <c r="S285" s="207"/>
      <c r="T285" s="207"/>
      <c r="U285" s="207"/>
      <c r="V285" s="207"/>
      <c r="W285" s="207"/>
    </row>
    <row r="286" spans="1:23" ht="11.25" hidden="1" customHeight="1" x14ac:dyDescent="0.25">
      <c r="A286" s="942">
        <v>0</v>
      </c>
      <c r="B286" s="843"/>
      <c r="C286" s="1030"/>
      <c r="D286" s="1030"/>
      <c r="E286" s="1065"/>
      <c r="F286" s="1066"/>
      <c r="G286" s="1030"/>
      <c r="H286" s="1067"/>
      <c r="I286" s="1031"/>
      <c r="J286" s="1030"/>
      <c r="K286" s="1065"/>
      <c r="L286" s="206"/>
      <c r="M286" s="207"/>
      <c r="N286" s="207"/>
      <c r="O286" s="207"/>
      <c r="P286" s="207"/>
      <c r="Q286" s="207"/>
      <c r="R286" s="207"/>
      <c r="S286" s="207"/>
      <c r="T286" s="207"/>
      <c r="U286" s="207"/>
      <c r="V286" s="207"/>
      <c r="W286" s="207"/>
    </row>
    <row r="287" spans="1:23" ht="11.25" hidden="1" customHeight="1" x14ac:dyDescent="0.25">
      <c r="A287" s="942">
        <v>0</v>
      </c>
      <c r="B287" s="843"/>
      <c r="C287" s="1030"/>
      <c r="D287" s="1030"/>
      <c r="E287" s="1065"/>
      <c r="F287" s="1066"/>
      <c r="G287" s="1030"/>
      <c r="H287" s="1067"/>
      <c r="I287" s="1031"/>
      <c r="J287" s="1030"/>
      <c r="K287" s="1065"/>
      <c r="L287" s="206"/>
      <c r="M287" s="207"/>
      <c r="N287" s="207"/>
      <c r="O287" s="207"/>
      <c r="P287" s="207"/>
      <c r="Q287" s="207"/>
      <c r="R287" s="207"/>
      <c r="S287" s="207"/>
      <c r="T287" s="207"/>
      <c r="U287" s="207"/>
      <c r="V287" s="207"/>
      <c r="W287" s="207"/>
    </row>
    <row r="288" spans="1:23" ht="11.25" hidden="1" customHeight="1" x14ac:dyDescent="0.25">
      <c r="A288" s="942">
        <v>0</v>
      </c>
      <c r="B288" s="843"/>
      <c r="C288" s="1030"/>
      <c r="D288" s="1030"/>
      <c r="E288" s="1065"/>
      <c r="F288" s="1066"/>
      <c r="G288" s="1030"/>
      <c r="H288" s="1067"/>
      <c r="I288" s="1031"/>
      <c r="J288" s="1030"/>
      <c r="K288" s="1065"/>
      <c r="L288" s="206"/>
      <c r="M288" s="207"/>
      <c r="N288" s="207"/>
      <c r="O288" s="207"/>
      <c r="P288" s="207"/>
      <c r="Q288" s="207"/>
      <c r="R288" s="207"/>
      <c r="S288" s="207"/>
      <c r="T288" s="207"/>
      <c r="U288" s="207"/>
      <c r="V288" s="207"/>
      <c r="W288" s="207"/>
    </row>
    <row r="289" spans="1:23" ht="11.25" hidden="1" customHeight="1" x14ac:dyDescent="0.25">
      <c r="A289" s="942">
        <v>0</v>
      </c>
      <c r="B289" s="843"/>
      <c r="C289" s="1030"/>
      <c r="D289" s="1030"/>
      <c r="E289" s="1065"/>
      <c r="F289" s="1066"/>
      <c r="G289" s="1030"/>
      <c r="H289" s="1067"/>
      <c r="I289" s="1031"/>
      <c r="J289" s="1030"/>
      <c r="K289" s="1065"/>
      <c r="L289" s="206"/>
      <c r="M289" s="207"/>
      <c r="N289" s="207"/>
      <c r="O289" s="207"/>
      <c r="P289" s="207"/>
      <c r="Q289" s="207"/>
      <c r="R289" s="207"/>
      <c r="S289" s="207"/>
      <c r="T289" s="207"/>
      <c r="U289" s="207"/>
      <c r="V289" s="207"/>
      <c r="W289" s="207"/>
    </row>
    <row r="290" spans="1:23" ht="11.25" hidden="1" customHeight="1" x14ac:dyDescent="0.25">
      <c r="A290" s="942">
        <v>0</v>
      </c>
      <c r="B290" s="843"/>
      <c r="C290" s="1030"/>
      <c r="D290" s="1030"/>
      <c r="E290" s="1065"/>
      <c r="F290" s="1066"/>
      <c r="G290" s="1030"/>
      <c r="H290" s="1067"/>
      <c r="I290" s="1031"/>
      <c r="J290" s="1030"/>
      <c r="K290" s="1065"/>
      <c r="L290" s="206"/>
      <c r="M290" s="207"/>
      <c r="N290" s="207"/>
      <c r="O290" s="207"/>
      <c r="P290" s="207"/>
      <c r="Q290" s="207"/>
      <c r="R290" s="207"/>
      <c r="S290" s="207"/>
      <c r="T290" s="207"/>
      <c r="U290" s="207"/>
      <c r="V290" s="207"/>
      <c r="W290" s="207"/>
    </row>
    <row r="291" spans="1:23" ht="11.25" hidden="1" customHeight="1" x14ac:dyDescent="0.25">
      <c r="A291" s="942">
        <v>0</v>
      </c>
      <c r="B291" s="843"/>
      <c r="C291" s="1030"/>
      <c r="D291" s="1030"/>
      <c r="E291" s="1065"/>
      <c r="F291" s="1066"/>
      <c r="G291" s="1030"/>
      <c r="H291" s="1067"/>
      <c r="I291" s="1031"/>
      <c r="J291" s="1030"/>
      <c r="K291" s="1065"/>
      <c r="L291" s="206"/>
      <c r="M291" s="207"/>
      <c r="N291" s="207"/>
      <c r="O291" s="207"/>
      <c r="P291" s="207"/>
      <c r="Q291" s="207"/>
      <c r="R291" s="207"/>
      <c r="S291" s="207"/>
      <c r="T291" s="207"/>
      <c r="U291" s="207"/>
      <c r="V291" s="207"/>
      <c r="W291" s="207"/>
    </row>
    <row r="292" spans="1:23" ht="11.25" hidden="1" customHeight="1" x14ac:dyDescent="0.25">
      <c r="A292" s="942">
        <v>0</v>
      </c>
      <c r="B292" s="843"/>
      <c r="C292" s="1030"/>
      <c r="D292" s="1030"/>
      <c r="E292" s="1065"/>
      <c r="F292" s="1066"/>
      <c r="G292" s="1030"/>
      <c r="H292" s="1067"/>
      <c r="I292" s="1031"/>
      <c r="J292" s="1030"/>
      <c r="K292" s="1065"/>
      <c r="L292" s="206"/>
      <c r="M292" s="207"/>
      <c r="N292" s="207"/>
      <c r="O292" s="207"/>
      <c r="P292" s="207"/>
      <c r="Q292" s="207"/>
      <c r="R292" s="207"/>
      <c r="S292" s="207"/>
      <c r="T292" s="207"/>
      <c r="U292" s="207"/>
      <c r="V292" s="207"/>
      <c r="W292" s="207"/>
    </row>
    <row r="293" spans="1:23" ht="11.25" hidden="1" customHeight="1" x14ac:dyDescent="0.25">
      <c r="A293" s="942">
        <v>0</v>
      </c>
      <c r="B293" s="843"/>
      <c r="C293" s="1030"/>
      <c r="D293" s="1030"/>
      <c r="E293" s="1065"/>
      <c r="F293" s="1066"/>
      <c r="G293" s="1030"/>
      <c r="H293" s="1067"/>
      <c r="I293" s="1031"/>
      <c r="J293" s="1030"/>
      <c r="K293" s="1065"/>
      <c r="L293" s="206"/>
      <c r="M293" s="207"/>
      <c r="N293" s="207"/>
      <c r="O293" s="207"/>
      <c r="P293" s="207"/>
      <c r="Q293" s="207"/>
      <c r="R293" s="207"/>
      <c r="S293" s="207"/>
      <c r="T293" s="207"/>
      <c r="U293" s="207"/>
      <c r="V293" s="207"/>
      <c r="W293" s="207"/>
    </row>
    <row r="294" spans="1:23" ht="15" hidden="1" customHeight="1" x14ac:dyDescent="0.25">
      <c r="A294" s="941" t="s">
        <v>2493</v>
      </c>
      <c r="B294" s="843"/>
      <c r="C294" s="755">
        <v>0</v>
      </c>
      <c r="D294" s="755">
        <v>0</v>
      </c>
      <c r="E294" s="758">
        <v>0</v>
      </c>
      <c r="F294" s="757">
        <v>0</v>
      </c>
      <c r="G294" s="755">
        <v>0</v>
      </c>
      <c r="H294" s="756">
        <v>0</v>
      </c>
      <c r="I294" s="1930">
        <v>0</v>
      </c>
      <c r="J294" s="755">
        <v>0</v>
      </c>
      <c r="K294" s="758">
        <v>0</v>
      </c>
      <c r="L294" s="206"/>
      <c r="M294" s="207"/>
      <c r="N294" s="207"/>
      <c r="O294" s="207"/>
      <c r="P294" s="207"/>
      <c r="Q294" s="207"/>
      <c r="R294" s="207"/>
      <c r="S294" s="207"/>
      <c r="T294" s="207"/>
      <c r="U294" s="207"/>
      <c r="V294" s="207"/>
      <c r="W294" s="207"/>
    </row>
    <row r="295" spans="1:23" ht="11.25" hidden="1" customHeight="1" x14ac:dyDescent="0.25">
      <c r="A295" s="942" t="s">
        <v>2036</v>
      </c>
      <c r="B295" s="843"/>
      <c r="C295" s="1030"/>
      <c r="D295" s="1030"/>
      <c r="E295" s="1065"/>
      <c r="F295" s="1066"/>
      <c r="G295" s="1030"/>
      <c r="H295" s="1067"/>
      <c r="I295" s="1031"/>
      <c r="J295" s="1030"/>
      <c r="K295" s="1065"/>
      <c r="L295" s="206"/>
      <c r="M295" s="207"/>
      <c r="N295" s="207"/>
      <c r="O295" s="207"/>
      <c r="P295" s="207"/>
      <c r="Q295" s="207"/>
      <c r="R295" s="207"/>
      <c r="S295" s="207"/>
      <c r="T295" s="207"/>
      <c r="U295" s="207"/>
      <c r="V295" s="207"/>
      <c r="W295" s="207"/>
    </row>
    <row r="296" spans="1:23" ht="11.25" hidden="1" customHeight="1" x14ac:dyDescent="0.25">
      <c r="A296" s="942">
        <v>0</v>
      </c>
      <c r="B296" s="843"/>
      <c r="C296" s="1030"/>
      <c r="D296" s="1030"/>
      <c r="E296" s="1065"/>
      <c r="F296" s="1066"/>
      <c r="G296" s="1030"/>
      <c r="H296" s="1067"/>
      <c r="I296" s="1031"/>
      <c r="J296" s="1030"/>
      <c r="K296" s="1065"/>
      <c r="L296" s="206"/>
      <c r="M296" s="207"/>
      <c r="N296" s="207"/>
      <c r="O296" s="207"/>
      <c r="P296" s="207"/>
      <c r="Q296" s="207"/>
      <c r="R296" s="207"/>
      <c r="S296" s="207"/>
      <c r="T296" s="207"/>
      <c r="U296" s="207"/>
      <c r="V296" s="207"/>
      <c r="W296" s="207"/>
    </row>
    <row r="297" spans="1:23" ht="11.25" hidden="1" customHeight="1" x14ac:dyDescent="0.25">
      <c r="A297" s="942">
        <v>0</v>
      </c>
      <c r="B297" s="843"/>
      <c r="C297" s="1030"/>
      <c r="D297" s="1030"/>
      <c r="E297" s="1065"/>
      <c r="F297" s="1066"/>
      <c r="G297" s="1030"/>
      <c r="H297" s="1067"/>
      <c r="I297" s="1031"/>
      <c r="J297" s="1030"/>
      <c r="K297" s="1065"/>
      <c r="L297" s="206"/>
      <c r="M297" s="207"/>
      <c r="N297" s="207"/>
      <c r="O297" s="207"/>
      <c r="P297" s="207"/>
      <c r="Q297" s="207"/>
      <c r="R297" s="207"/>
      <c r="S297" s="207"/>
      <c r="T297" s="207"/>
      <c r="U297" s="207"/>
      <c r="V297" s="207"/>
      <c r="W297" s="207"/>
    </row>
    <row r="298" spans="1:23" ht="11.25" hidden="1" customHeight="1" x14ac:dyDescent="0.25">
      <c r="A298" s="942">
        <v>0</v>
      </c>
      <c r="B298" s="843"/>
      <c r="C298" s="1030"/>
      <c r="D298" s="1030"/>
      <c r="E298" s="1065"/>
      <c r="F298" s="1066"/>
      <c r="G298" s="1030"/>
      <c r="H298" s="1067"/>
      <c r="I298" s="1031"/>
      <c r="J298" s="1030"/>
      <c r="K298" s="1065"/>
      <c r="L298" s="206"/>
      <c r="M298" s="207"/>
      <c r="N298" s="207"/>
      <c r="O298" s="207"/>
      <c r="P298" s="207"/>
      <c r="Q298" s="207"/>
      <c r="R298" s="207"/>
      <c r="S298" s="207"/>
      <c r="T298" s="207"/>
      <c r="U298" s="207"/>
      <c r="V298" s="207"/>
      <c r="W298" s="207"/>
    </row>
    <row r="299" spans="1:23" ht="11.25" hidden="1" customHeight="1" x14ac:dyDescent="0.25">
      <c r="A299" s="942">
        <v>0</v>
      </c>
      <c r="B299" s="843"/>
      <c r="C299" s="1030"/>
      <c r="D299" s="1030"/>
      <c r="E299" s="1065"/>
      <c r="F299" s="1066"/>
      <c r="G299" s="1030"/>
      <c r="H299" s="1067"/>
      <c r="I299" s="1031"/>
      <c r="J299" s="1030"/>
      <c r="K299" s="1065"/>
      <c r="L299" s="206"/>
      <c r="M299" s="207"/>
      <c r="N299" s="207"/>
      <c r="O299" s="207"/>
      <c r="P299" s="207"/>
      <c r="Q299" s="207"/>
      <c r="R299" s="207"/>
      <c r="S299" s="207"/>
      <c r="T299" s="207"/>
      <c r="U299" s="207"/>
      <c r="V299" s="207"/>
      <c r="W299" s="207"/>
    </row>
    <row r="300" spans="1:23" ht="11.25" hidden="1" customHeight="1" x14ac:dyDescent="0.25">
      <c r="A300" s="942">
        <v>0</v>
      </c>
      <c r="B300" s="843"/>
      <c r="C300" s="1030"/>
      <c r="D300" s="1030"/>
      <c r="E300" s="1065"/>
      <c r="F300" s="1066"/>
      <c r="G300" s="1030"/>
      <c r="H300" s="1067"/>
      <c r="I300" s="1031"/>
      <c r="J300" s="1030"/>
      <c r="K300" s="1065"/>
      <c r="L300" s="206"/>
      <c r="M300" s="207"/>
      <c r="N300" s="207"/>
      <c r="O300" s="207"/>
      <c r="P300" s="207"/>
      <c r="Q300" s="207"/>
      <c r="R300" s="207"/>
      <c r="S300" s="207"/>
      <c r="T300" s="207"/>
      <c r="U300" s="207"/>
      <c r="V300" s="207"/>
      <c r="W300" s="207"/>
    </row>
    <row r="301" spans="1:23" ht="11.25" hidden="1" customHeight="1" x14ac:dyDescent="0.25">
      <c r="A301" s="942">
        <v>0</v>
      </c>
      <c r="B301" s="843"/>
      <c r="C301" s="1030"/>
      <c r="D301" s="1030"/>
      <c r="E301" s="1065"/>
      <c r="F301" s="1066"/>
      <c r="G301" s="1030"/>
      <c r="H301" s="1067"/>
      <c r="I301" s="1031"/>
      <c r="J301" s="1030"/>
      <c r="K301" s="1065"/>
      <c r="L301" s="206"/>
      <c r="M301" s="207"/>
      <c r="N301" s="207"/>
      <c r="O301" s="207"/>
      <c r="P301" s="207"/>
      <c r="Q301" s="207"/>
      <c r="R301" s="207"/>
      <c r="S301" s="207"/>
      <c r="T301" s="207"/>
      <c r="U301" s="207"/>
      <c r="V301" s="207"/>
      <c r="W301" s="207"/>
    </row>
    <row r="302" spans="1:23" ht="11.25" hidden="1" customHeight="1" x14ac:dyDescent="0.25">
      <c r="A302" s="942">
        <v>0</v>
      </c>
      <c r="B302" s="843"/>
      <c r="C302" s="1030"/>
      <c r="D302" s="1030"/>
      <c r="E302" s="1065"/>
      <c r="F302" s="1066"/>
      <c r="G302" s="1030"/>
      <c r="H302" s="1067"/>
      <c r="I302" s="1031"/>
      <c r="J302" s="1030"/>
      <c r="K302" s="1065"/>
      <c r="L302" s="206"/>
      <c r="M302" s="207"/>
      <c r="N302" s="207"/>
      <c r="O302" s="207"/>
      <c r="P302" s="207"/>
      <c r="Q302" s="207"/>
      <c r="R302" s="207"/>
      <c r="S302" s="207"/>
      <c r="T302" s="207"/>
      <c r="U302" s="207"/>
      <c r="V302" s="207"/>
      <c r="W302" s="207"/>
    </row>
    <row r="303" spans="1:23" ht="11.25" hidden="1" customHeight="1" x14ac:dyDescent="0.25">
      <c r="A303" s="942">
        <v>0</v>
      </c>
      <c r="B303" s="843"/>
      <c r="C303" s="1030"/>
      <c r="D303" s="1030"/>
      <c r="E303" s="1065"/>
      <c r="F303" s="1066"/>
      <c r="G303" s="1030"/>
      <c r="H303" s="1067"/>
      <c r="I303" s="1031"/>
      <c r="J303" s="1030"/>
      <c r="K303" s="1065"/>
      <c r="L303" s="206"/>
      <c r="M303" s="207"/>
      <c r="N303" s="207"/>
      <c r="O303" s="207"/>
      <c r="P303" s="207"/>
      <c r="Q303" s="207"/>
      <c r="R303" s="207"/>
      <c r="S303" s="207"/>
      <c r="T303" s="207"/>
      <c r="U303" s="207"/>
      <c r="V303" s="207"/>
      <c r="W303" s="207"/>
    </row>
    <row r="304" spans="1:23" ht="11.25" hidden="1" customHeight="1" x14ac:dyDescent="0.25">
      <c r="A304" s="942">
        <v>0</v>
      </c>
      <c r="B304" s="843"/>
      <c r="C304" s="1030"/>
      <c r="D304" s="1030"/>
      <c r="E304" s="1065"/>
      <c r="F304" s="1066"/>
      <c r="G304" s="1030"/>
      <c r="H304" s="1067"/>
      <c r="I304" s="1031"/>
      <c r="J304" s="1030"/>
      <c r="K304" s="1065"/>
      <c r="L304" s="206"/>
      <c r="M304" s="207"/>
      <c r="N304" s="207"/>
      <c r="O304" s="207"/>
      <c r="P304" s="207"/>
      <c r="Q304" s="207"/>
      <c r="R304" s="207"/>
      <c r="S304" s="207"/>
      <c r="T304" s="207"/>
      <c r="U304" s="207"/>
      <c r="V304" s="207"/>
      <c r="W304" s="207"/>
    </row>
    <row r="305" spans="1:23" ht="15" hidden="1" customHeight="1" x14ac:dyDescent="0.25">
      <c r="A305" s="941" t="s">
        <v>2494</v>
      </c>
      <c r="B305" s="843"/>
      <c r="C305" s="755">
        <v>0</v>
      </c>
      <c r="D305" s="755">
        <v>0</v>
      </c>
      <c r="E305" s="758">
        <v>0</v>
      </c>
      <c r="F305" s="757">
        <v>0</v>
      </c>
      <c r="G305" s="755">
        <v>0</v>
      </c>
      <c r="H305" s="756">
        <v>0</v>
      </c>
      <c r="I305" s="1930">
        <v>0</v>
      </c>
      <c r="J305" s="755">
        <v>0</v>
      </c>
      <c r="K305" s="758">
        <v>0</v>
      </c>
      <c r="L305" s="206"/>
      <c r="M305" s="207"/>
      <c r="N305" s="207"/>
      <c r="O305" s="207"/>
      <c r="P305" s="207"/>
      <c r="Q305" s="207"/>
      <c r="R305" s="207"/>
      <c r="S305" s="207"/>
      <c r="T305" s="207"/>
      <c r="U305" s="207"/>
      <c r="V305" s="207"/>
      <c r="W305" s="207"/>
    </row>
    <row r="306" spans="1:23" ht="11.25" hidden="1" customHeight="1" x14ac:dyDescent="0.25">
      <c r="A306" s="942" t="s">
        <v>2037</v>
      </c>
      <c r="B306" s="843"/>
      <c r="C306" s="1030"/>
      <c r="D306" s="1030"/>
      <c r="E306" s="1065"/>
      <c r="F306" s="1066"/>
      <c r="G306" s="1030"/>
      <c r="H306" s="1067"/>
      <c r="I306" s="1031"/>
      <c r="J306" s="1030"/>
      <c r="K306" s="1065"/>
      <c r="L306" s="206"/>
      <c r="M306" s="207"/>
      <c r="N306" s="207"/>
      <c r="O306" s="207"/>
      <c r="P306" s="207"/>
      <c r="Q306" s="207"/>
      <c r="R306" s="207"/>
      <c r="S306" s="207"/>
      <c r="T306" s="207"/>
      <c r="U306" s="207"/>
      <c r="V306" s="207"/>
      <c r="W306" s="207"/>
    </row>
    <row r="307" spans="1:23" ht="11.25" hidden="1" customHeight="1" x14ac:dyDescent="0.25">
      <c r="A307" s="942">
        <v>0</v>
      </c>
      <c r="B307" s="843"/>
      <c r="C307" s="1030"/>
      <c r="D307" s="1030"/>
      <c r="E307" s="1065"/>
      <c r="F307" s="1066"/>
      <c r="G307" s="1030"/>
      <c r="H307" s="1067"/>
      <c r="I307" s="1031"/>
      <c r="J307" s="1030"/>
      <c r="K307" s="1065"/>
      <c r="L307" s="206"/>
      <c r="M307" s="207"/>
      <c r="N307" s="207"/>
      <c r="O307" s="207"/>
      <c r="P307" s="207"/>
      <c r="Q307" s="207"/>
      <c r="R307" s="207"/>
      <c r="S307" s="207"/>
      <c r="T307" s="207"/>
      <c r="U307" s="207"/>
      <c r="V307" s="207"/>
      <c r="W307" s="207"/>
    </row>
    <row r="308" spans="1:23" ht="11.25" hidden="1" customHeight="1" x14ac:dyDescent="0.25">
      <c r="A308" s="942">
        <v>0</v>
      </c>
      <c r="B308" s="843"/>
      <c r="C308" s="1030"/>
      <c r="D308" s="1030"/>
      <c r="E308" s="1065"/>
      <c r="F308" s="1066"/>
      <c r="G308" s="1030"/>
      <c r="H308" s="1067"/>
      <c r="I308" s="1031"/>
      <c r="J308" s="1030"/>
      <c r="K308" s="1065"/>
      <c r="L308" s="206"/>
      <c r="M308" s="207"/>
      <c r="N308" s="207"/>
      <c r="O308" s="207"/>
      <c r="P308" s="207"/>
      <c r="Q308" s="207"/>
      <c r="R308" s="207"/>
      <c r="S308" s="207"/>
      <c r="T308" s="207"/>
      <c r="U308" s="207"/>
      <c r="V308" s="207"/>
      <c r="W308" s="207"/>
    </row>
    <row r="309" spans="1:23" ht="11.25" hidden="1" customHeight="1" x14ac:dyDescent="0.25">
      <c r="A309" s="942">
        <v>0</v>
      </c>
      <c r="B309" s="843"/>
      <c r="C309" s="1030"/>
      <c r="D309" s="1030"/>
      <c r="E309" s="1065"/>
      <c r="F309" s="1066"/>
      <c r="G309" s="1030"/>
      <c r="H309" s="1067"/>
      <c r="I309" s="1031"/>
      <c r="J309" s="1030"/>
      <c r="K309" s="1065"/>
      <c r="L309" s="206"/>
      <c r="M309" s="207"/>
      <c r="N309" s="207"/>
      <c r="O309" s="207"/>
      <c r="P309" s="207"/>
      <c r="Q309" s="207"/>
      <c r="R309" s="207"/>
      <c r="S309" s="207"/>
      <c r="T309" s="207"/>
      <c r="U309" s="207"/>
      <c r="V309" s="207"/>
      <c r="W309" s="207"/>
    </row>
    <row r="310" spans="1:23" ht="11.25" hidden="1" customHeight="1" x14ac:dyDescent="0.25">
      <c r="A310" s="942">
        <v>0</v>
      </c>
      <c r="B310" s="843"/>
      <c r="C310" s="1030"/>
      <c r="D310" s="1030"/>
      <c r="E310" s="1065"/>
      <c r="F310" s="1066"/>
      <c r="G310" s="1030"/>
      <c r="H310" s="1067"/>
      <c r="I310" s="1031"/>
      <c r="J310" s="1030"/>
      <c r="K310" s="1065"/>
      <c r="L310" s="206"/>
      <c r="M310" s="207"/>
      <c r="N310" s="207"/>
      <c r="O310" s="207"/>
      <c r="P310" s="207"/>
      <c r="Q310" s="207"/>
      <c r="R310" s="207"/>
      <c r="S310" s="207"/>
      <c r="T310" s="207"/>
      <c r="U310" s="207"/>
      <c r="V310" s="207"/>
      <c r="W310" s="207"/>
    </row>
    <row r="311" spans="1:23" ht="11.25" hidden="1" customHeight="1" x14ac:dyDescent="0.25">
      <c r="A311" s="942">
        <v>0</v>
      </c>
      <c r="B311" s="843"/>
      <c r="C311" s="1030"/>
      <c r="D311" s="1030"/>
      <c r="E311" s="1065"/>
      <c r="F311" s="1066"/>
      <c r="G311" s="1030"/>
      <c r="H311" s="1067"/>
      <c r="I311" s="1031"/>
      <c r="J311" s="1030"/>
      <c r="K311" s="1065"/>
      <c r="L311" s="206"/>
      <c r="M311" s="207"/>
      <c r="N311" s="207"/>
      <c r="O311" s="207"/>
      <c r="P311" s="207"/>
      <c r="Q311" s="207"/>
      <c r="R311" s="207"/>
      <c r="S311" s="207"/>
      <c r="T311" s="207"/>
      <c r="U311" s="207"/>
      <c r="V311" s="207"/>
      <c r="W311" s="207"/>
    </row>
    <row r="312" spans="1:23" ht="11.25" hidden="1" customHeight="1" x14ac:dyDescent="0.25">
      <c r="A312" s="942">
        <v>0</v>
      </c>
      <c r="B312" s="843"/>
      <c r="C312" s="1030"/>
      <c r="D312" s="1030"/>
      <c r="E312" s="1065"/>
      <c r="F312" s="1066"/>
      <c r="G312" s="1030"/>
      <c r="H312" s="1067"/>
      <c r="I312" s="1031"/>
      <c r="J312" s="1030"/>
      <c r="K312" s="1065"/>
      <c r="L312" s="206"/>
      <c r="M312" s="207"/>
      <c r="N312" s="207"/>
      <c r="O312" s="207"/>
      <c r="P312" s="207"/>
      <c r="Q312" s="207"/>
      <c r="R312" s="207"/>
      <c r="S312" s="207"/>
      <c r="T312" s="207"/>
      <c r="U312" s="207"/>
      <c r="V312" s="207"/>
      <c r="W312" s="207"/>
    </row>
    <row r="313" spans="1:23" ht="11.25" hidden="1" customHeight="1" x14ac:dyDescent="0.25">
      <c r="A313" s="942">
        <v>0</v>
      </c>
      <c r="B313" s="843"/>
      <c r="C313" s="1030"/>
      <c r="D313" s="1030"/>
      <c r="E313" s="1065"/>
      <c r="F313" s="1066"/>
      <c r="G313" s="1030"/>
      <c r="H313" s="1067"/>
      <c r="I313" s="1031"/>
      <c r="J313" s="1030"/>
      <c r="K313" s="1065"/>
      <c r="L313" s="206"/>
      <c r="M313" s="207"/>
      <c r="N313" s="207"/>
      <c r="O313" s="207"/>
      <c r="P313" s="207"/>
      <c r="Q313" s="207"/>
      <c r="R313" s="207"/>
      <c r="S313" s="207"/>
      <c r="T313" s="207"/>
      <c r="U313" s="207"/>
      <c r="V313" s="207"/>
      <c r="W313" s="207"/>
    </row>
    <row r="314" spans="1:23" ht="11.25" hidden="1" customHeight="1" x14ac:dyDescent="0.25">
      <c r="A314" s="942">
        <v>0</v>
      </c>
      <c r="B314" s="843"/>
      <c r="C314" s="1030"/>
      <c r="D314" s="1030"/>
      <c r="E314" s="1065"/>
      <c r="F314" s="1066"/>
      <c r="G314" s="1030"/>
      <c r="H314" s="1067"/>
      <c r="I314" s="1031"/>
      <c r="J314" s="1030"/>
      <c r="K314" s="1065"/>
      <c r="L314" s="206"/>
      <c r="M314" s="207"/>
      <c r="N314" s="207"/>
      <c r="O314" s="207"/>
      <c r="P314" s="207"/>
      <c r="Q314" s="207"/>
      <c r="R314" s="207"/>
      <c r="S314" s="207"/>
      <c r="T314" s="207"/>
      <c r="U314" s="207"/>
      <c r="V314" s="207"/>
      <c r="W314" s="207"/>
    </row>
    <row r="315" spans="1:23" ht="11.25" hidden="1" customHeight="1" x14ac:dyDescent="0.25">
      <c r="A315" s="942">
        <v>0</v>
      </c>
      <c r="B315" s="843"/>
      <c r="C315" s="1030"/>
      <c r="D315" s="1030"/>
      <c r="E315" s="1065"/>
      <c r="F315" s="1066"/>
      <c r="G315" s="1030"/>
      <c r="H315" s="1067"/>
      <c r="I315" s="1031"/>
      <c r="J315" s="1030"/>
      <c r="K315" s="1065"/>
      <c r="L315" s="206"/>
      <c r="M315" s="207"/>
      <c r="N315" s="207"/>
      <c r="O315" s="207"/>
      <c r="P315" s="207"/>
      <c r="Q315" s="207"/>
      <c r="R315" s="207"/>
      <c r="S315" s="207"/>
      <c r="T315" s="207"/>
      <c r="U315" s="207"/>
      <c r="V315" s="207"/>
      <c r="W315" s="207"/>
    </row>
    <row r="316" spans="1:23" ht="15" hidden="1" customHeight="1" x14ac:dyDescent="0.25">
      <c r="A316" s="941" t="s">
        <v>2495</v>
      </c>
      <c r="B316" s="843"/>
      <c r="C316" s="755">
        <v>0</v>
      </c>
      <c r="D316" s="755">
        <v>0</v>
      </c>
      <c r="E316" s="758">
        <v>0</v>
      </c>
      <c r="F316" s="757">
        <v>0</v>
      </c>
      <c r="G316" s="755">
        <v>0</v>
      </c>
      <c r="H316" s="756">
        <v>0</v>
      </c>
      <c r="I316" s="1930">
        <v>0</v>
      </c>
      <c r="J316" s="755">
        <v>0</v>
      </c>
      <c r="K316" s="758">
        <v>0</v>
      </c>
      <c r="L316" s="206"/>
      <c r="M316" s="207"/>
      <c r="N316" s="207"/>
      <c r="O316" s="207"/>
      <c r="P316" s="207"/>
      <c r="Q316" s="207"/>
      <c r="R316" s="207"/>
      <c r="S316" s="207"/>
      <c r="T316" s="207"/>
      <c r="U316" s="207"/>
      <c r="V316" s="207"/>
      <c r="W316" s="207"/>
    </row>
    <row r="317" spans="1:23" ht="11.25" hidden="1" customHeight="1" x14ac:dyDescent="0.25">
      <c r="A317" s="942" t="s">
        <v>2038</v>
      </c>
      <c r="B317" s="843"/>
      <c r="C317" s="1030"/>
      <c r="D317" s="1030"/>
      <c r="E317" s="1065"/>
      <c r="F317" s="1066"/>
      <c r="G317" s="1030"/>
      <c r="H317" s="1067"/>
      <c r="I317" s="1031"/>
      <c r="J317" s="1030"/>
      <c r="K317" s="1065"/>
      <c r="L317" s="206"/>
      <c r="M317" s="207"/>
      <c r="N317" s="207"/>
      <c r="O317" s="207"/>
      <c r="P317" s="207"/>
      <c r="Q317" s="207"/>
      <c r="R317" s="207"/>
      <c r="S317" s="207"/>
      <c r="T317" s="207"/>
      <c r="U317" s="207"/>
      <c r="V317" s="207"/>
      <c r="W317" s="207"/>
    </row>
    <row r="318" spans="1:23" ht="11.25" hidden="1" customHeight="1" x14ac:dyDescent="0.25">
      <c r="A318" s="942">
        <v>0</v>
      </c>
      <c r="B318" s="843"/>
      <c r="C318" s="1030"/>
      <c r="D318" s="1030"/>
      <c r="E318" s="1065"/>
      <c r="F318" s="1066"/>
      <c r="G318" s="1030"/>
      <c r="H318" s="1067"/>
      <c r="I318" s="1031"/>
      <c r="J318" s="1030"/>
      <c r="K318" s="1065"/>
      <c r="L318" s="206"/>
      <c r="M318" s="207"/>
      <c r="N318" s="207"/>
      <c r="O318" s="207"/>
      <c r="P318" s="207"/>
      <c r="Q318" s="207"/>
      <c r="R318" s="207"/>
      <c r="S318" s="207"/>
      <c r="T318" s="207"/>
      <c r="U318" s="207"/>
      <c r="V318" s="207"/>
      <c r="W318" s="207"/>
    </row>
    <row r="319" spans="1:23" ht="11.25" hidden="1" customHeight="1" x14ac:dyDescent="0.25">
      <c r="A319" s="942">
        <v>0</v>
      </c>
      <c r="B319" s="843"/>
      <c r="C319" s="1030"/>
      <c r="D319" s="1030"/>
      <c r="E319" s="1065"/>
      <c r="F319" s="1066"/>
      <c r="G319" s="1030"/>
      <c r="H319" s="1067"/>
      <c r="I319" s="1031"/>
      <c r="J319" s="1030"/>
      <c r="K319" s="1065"/>
      <c r="L319" s="206"/>
      <c r="M319" s="207"/>
      <c r="N319" s="207"/>
      <c r="O319" s="207"/>
      <c r="P319" s="207"/>
      <c r="Q319" s="207"/>
      <c r="R319" s="207"/>
      <c r="S319" s="207"/>
      <c r="T319" s="207"/>
      <c r="U319" s="207"/>
      <c r="V319" s="207"/>
      <c r="W319" s="207"/>
    </row>
    <row r="320" spans="1:23" ht="11.25" hidden="1" customHeight="1" x14ac:dyDescent="0.25">
      <c r="A320" s="942">
        <v>0</v>
      </c>
      <c r="B320" s="843"/>
      <c r="C320" s="1030"/>
      <c r="D320" s="1030"/>
      <c r="E320" s="1065"/>
      <c r="F320" s="1066"/>
      <c r="G320" s="1030"/>
      <c r="H320" s="1067"/>
      <c r="I320" s="1031"/>
      <c r="J320" s="1030"/>
      <c r="K320" s="1065"/>
      <c r="L320" s="206"/>
      <c r="M320" s="207"/>
      <c r="N320" s="207"/>
      <c r="O320" s="207"/>
      <c r="P320" s="207"/>
      <c r="Q320" s="207"/>
      <c r="R320" s="207"/>
      <c r="S320" s="207"/>
      <c r="T320" s="207"/>
      <c r="U320" s="207"/>
      <c r="V320" s="207"/>
      <c r="W320" s="207"/>
    </row>
    <row r="321" spans="1:23" ht="11.25" hidden="1" customHeight="1" x14ac:dyDescent="0.25">
      <c r="A321" s="942">
        <v>0</v>
      </c>
      <c r="B321" s="843"/>
      <c r="C321" s="1030"/>
      <c r="D321" s="1030"/>
      <c r="E321" s="1065"/>
      <c r="F321" s="1066"/>
      <c r="G321" s="1030"/>
      <c r="H321" s="1067"/>
      <c r="I321" s="1031"/>
      <c r="J321" s="1030"/>
      <c r="K321" s="1065"/>
      <c r="L321" s="206"/>
      <c r="M321" s="207"/>
      <c r="N321" s="207"/>
      <c r="O321" s="207"/>
      <c r="P321" s="207"/>
      <c r="Q321" s="207"/>
      <c r="R321" s="207"/>
      <c r="S321" s="207"/>
      <c r="T321" s="207"/>
      <c r="U321" s="207"/>
      <c r="V321" s="207"/>
      <c r="W321" s="207"/>
    </row>
    <row r="322" spans="1:23" ht="11.25" hidden="1" customHeight="1" x14ac:dyDescent="0.25">
      <c r="A322" s="942">
        <v>0</v>
      </c>
      <c r="B322" s="843"/>
      <c r="C322" s="1030"/>
      <c r="D322" s="1030"/>
      <c r="E322" s="1065"/>
      <c r="F322" s="1066"/>
      <c r="G322" s="1030"/>
      <c r="H322" s="1067"/>
      <c r="I322" s="1031"/>
      <c r="J322" s="1030"/>
      <c r="K322" s="1065"/>
      <c r="L322" s="206"/>
      <c r="M322" s="207"/>
      <c r="N322" s="207"/>
      <c r="O322" s="207"/>
      <c r="P322" s="207"/>
      <c r="Q322" s="207"/>
      <c r="R322" s="207"/>
      <c r="S322" s="207"/>
      <c r="T322" s="207"/>
      <c r="U322" s="207"/>
      <c r="V322" s="207"/>
      <c r="W322" s="207"/>
    </row>
    <row r="323" spans="1:23" ht="11.25" hidden="1" customHeight="1" x14ac:dyDescent="0.25">
      <c r="A323" s="942">
        <v>0</v>
      </c>
      <c r="B323" s="843"/>
      <c r="C323" s="1030"/>
      <c r="D323" s="1030"/>
      <c r="E323" s="1065"/>
      <c r="F323" s="1066"/>
      <c r="G323" s="1030"/>
      <c r="H323" s="1067"/>
      <c r="I323" s="1031"/>
      <c r="J323" s="1030"/>
      <c r="K323" s="1065"/>
      <c r="L323" s="206"/>
      <c r="M323" s="207"/>
      <c r="N323" s="207"/>
      <c r="O323" s="207"/>
      <c r="P323" s="207"/>
      <c r="Q323" s="207"/>
      <c r="R323" s="207"/>
      <c r="S323" s="207"/>
      <c r="T323" s="207"/>
      <c r="U323" s="207"/>
      <c r="V323" s="207"/>
      <c r="W323" s="207"/>
    </row>
    <row r="324" spans="1:23" ht="11.25" hidden="1" customHeight="1" x14ac:dyDescent="0.25">
      <c r="A324" s="942">
        <v>0</v>
      </c>
      <c r="B324" s="843"/>
      <c r="C324" s="1030"/>
      <c r="D324" s="1030"/>
      <c r="E324" s="1065"/>
      <c r="F324" s="1066"/>
      <c r="G324" s="1030"/>
      <c r="H324" s="1067"/>
      <c r="I324" s="1031"/>
      <c r="J324" s="1030"/>
      <c r="K324" s="1065"/>
      <c r="L324" s="206"/>
      <c r="M324" s="207"/>
      <c r="N324" s="207"/>
      <c r="O324" s="207"/>
      <c r="P324" s="207"/>
      <c r="Q324" s="207"/>
      <c r="R324" s="207"/>
      <c r="S324" s="207"/>
      <c r="T324" s="207"/>
      <c r="U324" s="207"/>
      <c r="V324" s="207"/>
      <c r="W324" s="207"/>
    </row>
    <row r="325" spans="1:23" ht="11.25" hidden="1" customHeight="1" x14ac:dyDescent="0.25">
      <c r="A325" s="942">
        <v>0</v>
      </c>
      <c r="B325" s="843"/>
      <c r="C325" s="1030"/>
      <c r="D325" s="1030"/>
      <c r="E325" s="1065"/>
      <c r="F325" s="1066"/>
      <c r="G325" s="1030"/>
      <c r="H325" s="1067"/>
      <c r="I325" s="1031"/>
      <c r="J325" s="1030"/>
      <c r="K325" s="1065"/>
      <c r="L325" s="206"/>
      <c r="M325" s="207"/>
      <c r="N325" s="207"/>
      <c r="O325" s="207"/>
      <c r="P325" s="207"/>
      <c r="Q325" s="207"/>
      <c r="R325" s="207"/>
      <c r="S325" s="207"/>
      <c r="T325" s="207"/>
      <c r="U325" s="207"/>
      <c r="V325" s="207"/>
      <c r="W325" s="207"/>
    </row>
    <row r="326" spans="1:23" ht="11.25" hidden="1" customHeight="1" x14ac:dyDescent="0.25">
      <c r="A326" s="942">
        <v>0</v>
      </c>
      <c r="B326" s="843"/>
      <c r="C326" s="1030"/>
      <c r="D326" s="1030"/>
      <c r="E326" s="1065"/>
      <c r="F326" s="1066"/>
      <c r="G326" s="1030"/>
      <c r="H326" s="1067"/>
      <c r="I326" s="1031"/>
      <c r="J326" s="1030"/>
      <c r="K326" s="1065"/>
      <c r="L326" s="206"/>
      <c r="M326" s="207"/>
      <c r="N326" s="207"/>
      <c r="O326" s="207"/>
      <c r="P326" s="207"/>
      <c r="Q326" s="207"/>
      <c r="R326" s="207"/>
      <c r="S326" s="207"/>
      <c r="T326" s="207"/>
      <c r="U326" s="207"/>
      <c r="V326" s="207"/>
      <c r="W326" s="207"/>
    </row>
    <row r="327" spans="1:23" ht="15" hidden="1" customHeight="1" x14ac:dyDescent="0.25">
      <c r="A327" s="941" t="s">
        <v>2496</v>
      </c>
      <c r="B327" s="843"/>
      <c r="C327" s="755">
        <v>0</v>
      </c>
      <c r="D327" s="755">
        <v>0</v>
      </c>
      <c r="E327" s="758">
        <v>0</v>
      </c>
      <c r="F327" s="757">
        <v>0</v>
      </c>
      <c r="G327" s="755">
        <v>0</v>
      </c>
      <c r="H327" s="756">
        <v>0</v>
      </c>
      <c r="I327" s="1930">
        <v>0</v>
      </c>
      <c r="J327" s="755">
        <v>0</v>
      </c>
      <c r="K327" s="758">
        <v>0</v>
      </c>
      <c r="L327" s="206"/>
      <c r="M327" s="207"/>
      <c r="N327" s="207"/>
      <c r="O327" s="207"/>
      <c r="P327" s="207"/>
      <c r="Q327" s="207"/>
      <c r="R327" s="207"/>
      <c r="S327" s="207"/>
      <c r="T327" s="207"/>
      <c r="U327" s="207"/>
      <c r="V327" s="207"/>
      <c r="W327" s="207"/>
    </row>
    <row r="328" spans="1:23" ht="11.25" hidden="1" customHeight="1" x14ac:dyDescent="0.25">
      <c r="A328" s="942" t="s">
        <v>2039</v>
      </c>
      <c r="B328" s="843"/>
      <c r="C328" s="1030"/>
      <c r="D328" s="1030"/>
      <c r="E328" s="1065"/>
      <c r="F328" s="1066"/>
      <c r="G328" s="1030"/>
      <c r="H328" s="1067"/>
      <c r="I328" s="1031"/>
      <c r="J328" s="1030"/>
      <c r="K328" s="1065"/>
      <c r="L328" s="206"/>
      <c r="M328" s="207"/>
      <c r="N328" s="207"/>
      <c r="O328" s="207"/>
      <c r="P328" s="207"/>
      <c r="Q328" s="207"/>
      <c r="R328" s="207"/>
      <c r="S328" s="207"/>
      <c r="T328" s="207"/>
      <c r="U328" s="207"/>
      <c r="V328" s="207"/>
      <c r="W328" s="207"/>
    </row>
    <row r="329" spans="1:23" ht="11.25" hidden="1" customHeight="1" x14ac:dyDescent="0.25">
      <c r="A329" s="942">
        <v>0</v>
      </c>
      <c r="B329" s="843"/>
      <c r="C329" s="1030"/>
      <c r="D329" s="1030"/>
      <c r="E329" s="1065"/>
      <c r="F329" s="1066"/>
      <c r="G329" s="1030"/>
      <c r="H329" s="1067"/>
      <c r="I329" s="1031"/>
      <c r="J329" s="1030"/>
      <c r="K329" s="1065"/>
      <c r="L329" s="206"/>
      <c r="M329" s="207"/>
      <c r="N329" s="207"/>
      <c r="O329" s="207"/>
      <c r="P329" s="207"/>
      <c r="Q329" s="207"/>
      <c r="R329" s="207"/>
      <c r="S329" s="207"/>
      <c r="T329" s="207"/>
      <c r="U329" s="207"/>
      <c r="V329" s="207"/>
      <c r="W329" s="207"/>
    </row>
    <row r="330" spans="1:23" ht="11.25" hidden="1" customHeight="1" x14ac:dyDescent="0.25">
      <c r="A330" s="942">
        <v>0</v>
      </c>
      <c r="B330" s="843"/>
      <c r="C330" s="1030"/>
      <c r="D330" s="1030"/>
      <c r="E330" s="1065"/>
      <c r="F330" s="1066"/>
      <c r="G330" s="1030"/>
      <c r="H330" s="1067"/>
      <c r="I330" s="1031"/>
      <c r="J330" s="1030"/>
      <c r="K330" s="1065"/>
      <c r="L330" s="206"/>
      <c r="M330" s="207"/>
      <c r="N330" s="207"/>
      <c r="O330" s="207"/>
      <c r="P330" s="207"/>
      <c r="Q330" s="207"/>
      <c r="R330" s="207"/>
      <c r="S330" s="207"/>
      <c r="T330" s="207"/>
      <c r="U330" s="207"/>
      <c r="V330" s="207"/>
      <c r="W330" s="207"/>
    </row>
    <row r="331" spans="1:23" ht="11.25" hidden="1" customHeight="1" x14ac:dyDescent="0.25">
      <c r="A331" s="942">
        <v>0</v>
      </c>
      <c r="B331" s="843"/>
      <c r="C331" s="1030"/>
      <c r="D331" s="1030"/>
      <c r="E331" s="1065"/>
      <c r="F331" s="1066"/>
      <c r="G331" s="1030"/>
      <c r="H331" s="1067"/>
      <c r="I331" s="1031"/>
      <c r="J331" s="1030"/>
      <c r="K331" s="1065"/>
      <c r="L331" s="206"/>
      <c r="M331" s="207"/>
      <c r="N331" s="207"/>
      <c r="O331" s="207"/>
      <c r="P331" s="207"/>
      <c r="Q331" s="207"/>
      <c r="R331" s="207"/>
      <c r="S331" s="207"/>
      <c r="T331" s="207"/>
      <c r="U331" s="207"/>
      <c r="V331" s="207"/>
      <c r="W331" s="207"/>
    </row>
    <row r="332" spans="1:23" ht="11.25" hidden="1" customHeight="1" x14ac:dyDescent="0.25">
      <c r="A332" s="942">
        <v>0</v>
      </c>
      <c r="B332" s="843"/>
      <c r="C332" s="1030"/>
      <c r="D332" s="1030"/>
      <c r="E332" s="1065"/>
      <c r="F332" s="1066"/>
      <c r="G332" s="1030"/>
      <c r="H332" s="1067"/>
      <c r="I332" s="1031"/>
      <c r="J332" s="1030"/>
      <c r="K332" s="1065"/>
      <c r="L332" s="206"/>
      <c r="M332" s="207"/>
      <c r="N332" s="207"/>
      <c r="O332" s="207"/>
      <c r="P332" s="207"/>
      <c r="Q332" s="207"/>
      <c r="R332" s="207"/>
      <c r="S332" s="207"/>
      <c r="T332" s="207"/>
      <c r="U332" s="207"/>
      <c r="V332" s="207"/>
      <c r="W332" s="207"/>
    </row>
    <row r="333" spans="1:23" ht="11.25" hidden="1" customHeight="1" x14ac:dyDescent="0.25">
      <c r="A333" s="942">
        <v>0</v>
      </c>
      <c r="B333" s="843"/>
      <c r="C333" s="1030"/>
      <c r="D333" s="1030"/>
      <c r="E333" s="1065"/>
      <c r="F333" s="1066"/>
      <c r="G333" s="1030"/>
      <c r="H333" s="1067"/>
      <c r="I333" s="1031"/>
      <c r="J333" s="1030"/>
      <c r="K333" s="1065"/>
      <c r="L333" s="206"/>
      <c r="M333" s="207"/>
      <c r="N333" s="207"/>
      <c r="O333" s="207"/>
      <c r="P333" s="207"/>
      <c r="Q333" s="207"/>
      <c r="R333" s="207"/>
      <c r="S333" s="207"/>
      <c r="T333" s="207"/>
      <c r="U333" s="207"/>
      <c r="V333" s="207"/>
      <c r="W333" s="207"/>
    </row>
    <row r="334" spans="1:23" ht="11.25" hidden="1" customHeight="1" x14ac:dyDescent="0.25">
      <c r="A334" s="942">
        <v>0</v>
      </c>
      <c r="B334" s="843"/>
      <c r="C334" s="1030"/>
      <c r="D334" s="1030"/>
      <c r="E334" s="1065"/>
      <c r="F334" s="1066"/>
      <c r="G334" s="1030"/>
      <c r="H334" s="1067"/>
      <c r="I334" s="1031"/>
      <c r="J334" s="1030"/>
      <c r="K334" s="1065"/>
      <c r="L334" s="206"/>
      <c r="M334" s="207"/>
      <c r="N334" s="207"/>
      <c r="O334" s="207"/>
      <c r="P334" s="207"/>
      <c r="Q334" s="207"/>
      <c r="R334" s="207"/>
      <c r="S334" s="207"/>
      <c r="T334" s="207"/>
      <c r="U334" s="207"/>
      <c r="V334" s="207"/>
      <c r="W334" s="207"/>
    </row>
    <row r="335" spans="1:23" ht="11.25" hidden="1" customHeight="1" x14ac:dyDescent="0.25">
      <c r="A335" s="942">
        <v>0</v>
      </c>
      <c r="B335" s="843"/>
      <c r="C335" s="1030"/>
      <c r="D335" s="1030"/>
      <c r="E335" s="1065"/>
      <c r="F335" s="1066"/>
      <c r="G335" s="1030"/>
      <c r="H335" s="1067"/>
      <c r="I335" s="1031"/>
      <c r="J335" s="1030"/>
      <c r="K335" s="1065"/>
      <c r="L335" s="206"/>
      <c r="M335" s="207"/>
      <c r="N335" s="207"/>
      <c r="O335" s="207"/>
      <c r="P335" s="207"/>
      <c r="Q335" s="207"/>
      <c r="R335" s="207"/>
      <c r="S335" s="207"/>
      <c r="T335" s="207"/>
      <c r="U335" s="207"/>
      <c r="V335" s="207"/>
      <c r="W335" s="207"/>
    </row>
    <row r="336" spans="1:23" ht="11.25" hidden="1" customHeight="1" x14ac:dyDescent="0.25">
      <c r="A336" s="942">
        <v>0</v>
      </c>
      <c r="B336" s="843"/>
      <c r="C336" s="1030"/>
      <c r="D336" s="1030"/>
      <c r="E336" s="1065"/>
      <c r="F336" s="1066"/>
      <c r="G336" s="1030"/>
      <c r="H336" s="1067"/>
      <c r="I336" s="1031"/>
      <c r="J336" s="1030"/>
      <c r="K336" s="1065"/>
      <c r="L336" s="206"/>
      <c r="M336" s="207"/>
      <c r="N336" s="207"/>
      <c r="O336" s="207"/>
      <c r="P336" s="207"/>
      <c r="Q336" s="207"/>
      <c r="R336" s="207"/>
      <c r="S336" s="207"/>
      <c r="T336" s="207"/>
      <c r="U336" s="207"/>
      <c r="V336" s="207"/>
      <c r="W336" s="207"/>
    </row>
    <row r="337" spans="1:24" ht="11.25" hidden="1" customHeight="1" x14ac:dyDescent="0.25">
      <c r="A337" s="942">
        <v>0</v>
      </c>
      <c r="B337" s="843"/>
      <c r="C337" s="1030"/>
      <c r="D337" s="1030"/>
      <c r="E337" s="1065"/>
      <c r="F337" s="1066"/>
      <c r="G337" s="1030"/>
      <c r="H337" s="1067"/>
      <c r="I337" s="1031"/>
      <c r="J337" s="1030"/>
      <c r="K337" s="1065"/>
      <c r="L337" s="206"/>
      <c r="M337" s="207"/>
      <c r="N337" s="207"/>
      <c r="O337" s="207"/>
      <c r="P337" s="207"/>
      <c r="Q337" s="207"/>
      <c r="R337" s="207"/>
      <c r="S337" s="207"/>
      <c r="T337" s="207"/>
      <c r="U337" s="207"/>
      <c r="V337" s="207"/>
      <c r="W337" s="207"/>
    </row>
    <row r="338" spans="1:24" ht="11.25" customHeight="1" x14ac:dyDescent="0.25">
      <c r="A338" s="196" t="s">
        <v>179</v>
      </c>
      <c r="B338" s="843">
        <v>2</v>
      </c>
      <c r="C338" s="259">
        <v>50383475.706582449</v>
      </c>
      <c r="D338" s="259">
        <v>60570905.480193764</v>
      </c>
      <c r="E338" s="260">
        <v>65924469.405803777</v>
      </c>
      <c r="F338" s="261">
        <v>71072956.768851161</v>
      </c>
      <c r="G338" s="259">
        <v>82805144.285714284</v>
      </c>
      <c r="H338" s="258">
        <v>82805144.285714284</v>
      </c>
      <c r="I338" s="262">
        <v>86297787.08433111</v>
      </c>
      <c r="J338" s="259">
        <v>89152618.309390977</v>
      </c>
      <c r="K338" s="260">
        <v>94618139.407954454</v>
      </c>
      <c r="L338" s="2067">
        <v>0</v>
      </c>
      <c r="M338" s="2068">
        <v>0</v>
      </c>
      <c r="N338" s="2068">
        <v>0</v>
      </c>
      <c r="O338" s="2068">
        <v>0</v>
      </c>
      <c r="P338" s="2068">
        <v>0</v>
      </c>
      <c r="Q338" s="2068">
        <v>0</v>
      </c>
      <c r="R338" s="2068">
        <v>0</v>
      </c>
      <c r="S338" s="2068">
        <v>0</v>
      </c>
      <c r="T338" s="2068">
        <v>0</v>
      </c>
      <c r="U338" s="2068">
        <v>0</v>
      </c>
      <c r="V338" s="2068">
        <v>0</v>
      </c>
      <c r="W338" s="2068">
        <v>0</v>
      </c>
    </row>
    <row r="339" spans="1:24" ht="5.0999999999999996" customHeight="1" x14ac:dyDescent="0.25">
      <c r="A339" s="199"/>
      <c r="B339" s="843"/>
      <c r="C339" s="357"/>
      <c r="D339" s="357"/>
      <c r="E339" s="313"/>
      <c r="F339" s="358"/>
      <c r="G339" s="357"/>
      <c r="H339" s="359"/>
      <c r="I339" s="1190"/>
      <c r="J339" s="357"/>
      <c r="K339" s="313"/>
      <c r="L339" s="2079"/>
      <c r="M339" s="2080"/>
      <c r="N339" s="2080"/>
      <c r="O339" s="2080"/>
      <c r="P339" s="2080"/>
      <c r="Q339" s="2080"/>
      <c r="R339" s="2080"/>
      <c r="S339" s="2080"/>
      <c r="T339" s="2080"/>
      <c r="U339" s="2080"/>
      <c r="V339" s="2080"/>
      <c r="W339" s="2080"/>
    </row>
    <row r="340" spans="1:24" ht="13.5" thickBot="1" x14ac:dyDescent="0.3">
      <c r="A340" s="221" t="s">
        <v>898</v>
      </c>
      <c r="B340" s="844">
        <v>2</v>
      </c>
      <c r="C340" s="224">
        <v>19286660.254558824</v>
      </c>
      <c r="D340" s="224">
        <v>2280514.7819191813</v>
      </c>
      <c r="E340" s="320">
        <v>-5054308.3579318076</v>
      </c>
      <c r="F340" s="321">
        <v>-16672610.938851163</v>
      </c>
      <c r="G340" s="224">
        <v>-15432553.285714284</v>
      </c>
      <c r="H340" s="223">
        <v>-15432553.285714284</v>
      </c>
      <c r="I340" s="322">
        <v>-3590867.0218468457</v>
      </c>
      <c r="J340" s="224">
        <v>-938183.04315765202</v>
      </c>
      <c r="K340" s="320">
        <v>-842898.03174713254</v>
      </c>
      <c r="L340" s="2081">
        <v>0</v>
      </c>
      <c r="M340" s="2082">
        <v>0</v>
      </c>
      <c r="N340" s="2082">
        <v>0</v>
      </c>
      <c r="O340" s="2082">
        <v>0</v>
      </c>
      <c r="P340" s="2082">
        <v>0</v>
      </c>
      <c r="Q340" s="2082">
        <v>0</v>
      </c>
      <c r="R340" s="2082">
        <v>0</v>
      </c>
      <c r="S340" s="2082">
        <v>0</v>
      </c>
      <c r="T340" s="2082">
        <v>0</v>
      </c>
      <c r="U340" s="2082">
        <v>0</v>
      </c>
      <c r="V340" s="2082">
        <v>0</v>
      </c>
      <c r="W340" s="2082">
        <v>0</v>
      </c>
    </row>
    <row r="341" spans="1:24" s="625" customFormat="1" ht="11.25" customHeight="1" thickTop="1" x14ac:dyDescent="0.25">
      <c r="A341" s="995" t="s">
        <v>986</v>
      </c>
      <c r="B341" s="837"/>
      <c r="C341" s="838"/>
      <c r="D341" s="839"/>
      <c r="E341" s="839"/>
      <c r="F341" s="839"/>
      <c r="G341" s="839"/>
      <c r="H341" s="839"/>
      <c r="I341" s="839"/>
      <c r="J341" s="839"/>
      <c r="K341" s="839"/>
      <c r="L341" s="873"/>
      <c r="M341" s="873"/>
      <c r="N341" s="873"/>
      <c r="O341" s="873"/>
      <c r="P341" s="873"/>
      <c r="Q341" s="873"/>
      <c r="R341" s="873"/>
      <c r="S341" s="873"/>
      <c r="T341" s="873"/>
      <c r="U341" s="873"/>
      <c r="V341" s="873"/>
      <c r="W341" s="873"/>
      <c r="X341" s="873"/>
    </row>
    <row r="342" spans="1:24" s="625" customFormat="1" ht="11.25" customHeight="1" x14ac:dyDescent="0.25">
      <c r="A342" s="965" t="s">
        <v>652</v>
      </c>
      <c r="B342" s="837"/>
      <c r="C342" s="2083"/>
      <c r="D342" s="2083"/>
      <c r="E342" s="839"/>
      <c r="F342" s="839"/>
      <c r="G342" s="839"/>
      <c r="H342" s="839"/>
      <c r="I342" s="839"/>
      <c r="J342" s="839"/>
      <c r="K342" s="839"/>
      <c r="L342" s="873"/>
      <c r="M342" s="873"/>
      <c r="N342" s="873"/>
      <c r="O342" s="873"/>
      <c r="P342" s="873"/>
      <c r="Q342" s="873"/>
      <c r="R342" s="873"/>
      <c r="S342" s="873"/>
      <c r="T342" s="873"/>
      <c r="U342" s="873"/>
      <c r="V342" s="873"/>
      <c r="W342" s="873"/>
      <c r="X342" s="873"/>
    </row>
    <row r="343" spans="1:24" s="625" customFormat="1" ht="11.25" customHeight="1" x14ac:dyDescent="0.25">
      <c r="A343" s="1001" t="s">
        <v>441</v>
      </c>
      <c r="B343" s="837"/>
      <c r="C343" s="2083"/>
      <c r="D343" s="2083"/>
      <c r="E343" s="839"/>
      <c r="F343" s="839"/>
      <c r="G343" s="839"/>
      <c r="H343" s="839"/>
      <c r="I343" s="839"/>
      <c r="J343" s="839"/>
      <c r="K343" s="839"/>
      <c r="L343" s="873"/>
      <c r="M343" s="873"/>
      <c r="N343" s="873"/>
      <c r="O343" s="873"/>
      <c r="P343" s="873"/>
      <c r="Q343" s="873"/>
      <c r="R343" s="873"/>
      <c r="S343" s="873"/>
      <c r="T343" s="873"/>
      <c r="U343" s="873"/>
      <c r="V343" s="873"/>
      <c r="W343" s="873"/>
      <c r="X343" s="873"/>
    </row>
    <row r="344" spans="1:24" s="625" customFormat="1" ht="11.25" customHeight="1" x14ac:dyDescent="0.25">
      <c r="A344" s="1001" t="s">
        <v>439</v>
      </c>
      <c r="B344" s="842"/>
      <c r="C344" s="2084"/>
      <c r="D344" s="2084"/>
      <c r="E344" s="2085"/>
      <c r="F344" s="2085"/>
      <c r="G344" s="2085"/>
      <c r="H344" s="2085"/>
      <c r="I344" s="2085"/>
      <c r="J344" s="2085"/>
      <c r="K344" s="2085"/>
      <c r="L344" s="873"/>
      <c r="M344" s="873"/>
      <c r="N344" s="873"/>
      <c r="O344" s="873"/>
      <c r="P344" s="873"/>
      <c r="Q344" s="873"/>
      <c r="R344" s="873"/>
      <c r="S344" s="873"/>
      <c r="T344" s="873"/>
      <c r="U344" s="873"/>
      <c r="V344" s="873"/>
      <c r="W344" s="873"/>
      <c r="X344" s="873"/>
    </row>
    <row r="345" spans="1:24" ht="11.25" customHeight="1" x14ac:dyDescent="0.25">
      <c r="A345" s="241"/>
    </row>
    <row r="346" spans="1:24" ht="11.25" customHeight="1" x14ac:dyDescent="0.25">
      <c r="A346" s="1002" t="s">
        <v>11</v>
      </c>
      <c r="B346" s="620"/>
      <c r="C346" s="2086">
        <v>0</v>
      </c>
      <c r="D346" s="2086">
        <v>0</v>
      </c>
      <c r="E346" s="2086">
        <v>0</v>
      </c>
      <c r="F346" s="2086">
        <v>-8292628.0186000019</v>
      </c>
      <c r="G346" s="2086">
        <v>0</v>
      </c>
      <c r="H346" s="2086">
        <v>0</v>
      </c>
      <c r="I346" s="2086">
        <v>0</v>
      </c>
      <c r="J346" s="2086">
        <v>0</v>
      </c>
      <c r="K346" s="2086">
        <v>0</v>
      </c>
    </row>
    <row r="347" spans="1:24" ht="11.25" customHeight="1" x14ac:dyDescent="0.25">
      <c r="A347" s="1002" t="s">
        <v>12</v>
      </c>
      <c r="B347" s="620"/>
      <c r="C347" s="2086">
        <v>0</v>
      </c>
      <c r="D347" s="2086">
        <v>0</v>
      </c>
      <c r="E347" s="2086">
        <v>0</v>
      </c>
      <c r="F347" s="2086">
        <v>1200392.2194631696</v>
      </c>
      <c r="G347" s="2086">
        <v>0</v>
      </c>
      <c r="H347" s="2086">
        <v>0</v>
      </c>
      <c r="I347" s="2086">
        <v>0</v>
      </c>
      <c r="J347" s="2086">
        <v>0</v>
      </c>
      <c r="K347" s="2086">
        <v>0</v>
      </c>
    </row>
    <row r="348" spans="1:24" ht="11.25" customHeight="1" x14ac:dyDescent="0.25">
      <c r="A348" s="241"/>
    </row>
    <row r="349" spans="1:24" ht="11.25" customHeight="1" x14ac:dyDescent="0.25">
      <c r="A349" s="241"/>
    </row>
    <row r="350" spans="1:24" ht="11.25" customHeight="1" x14ac:dyDescent="0.25">
      <c r="A350" s="241"/>
    </row>
    <row r="351" spans="1:24" ht="11.25" customHeight="1" x14ac:dyDescent="0.25"/>
    <row r="352" spans="1:24"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mergeCells count="3">
    <mergeCell ref="L2:W2"/>
    <mergeCell ref="F2:H2"/>
    <mergeCell ref="I2:K2"/>
  </mergeCells>
  <phoneticPr fontId="4" type="noConversion"/>
  <dataValidations xWindow="42844" yWindow="125" count="1">
    <dataValidation type="list" allowBlank="1" showInputMessage="1" showErrorMessage="1" promptTitle="Select Vote" prompt="Select Vote from list" sqref="A184">
      <formula1>Vote</formula1>
    </dataValidation>
  </dataValidations>
  <pageMargins left="0.75" right="0.75" top="1" bottom="1" header="0.5" footer="0.5"/>
  <pageSetup scale="54" orientation="portrait" r:id="rId1"/>
  <headerFooter alignWithMargins="0"/>
  <rowBreaks count="1" manualBreakCount="1">
    <brk id="170"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tabColor indexed="44"/>
    <pageSetUpPr fitToPage="1"/>
  </sheetPr>
  <dimension ref="A1:Y92"/>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hidden="1" customWidth="1"/>
    <col min="14" max="14" width="9.5703125" style="148" hidden="1" customWidth="1"/>
    <col min="15" max="15" width="9.85546875" style="148" hidden="1" customWidth="1"/>
    <col min="16" max="18" width="9.5703125" style="148" hidden="1" customWidth="1"/>
    <col min="19" max="19" width="9.85546875" style="148" hidden="1" customWidth="1"/>
    <col min="20" max="22" width="9.5703125" style="148" hidden="1" customWidth="1"/>
    <col min="23" max="24" width="9.85546875" style="148" hidden="1" customWidth="1"/>
    <col min="25" max="16384" width="9.140625" style="148"/>
  </cols>
  <sheetData>
    <row r="1" spans="1:25" s="178" customFormat="1" x14ac:dyDescent="0.2">
      <c r="A1" s="146" t="s">
        <v>2497</v>
      </c>
      <c r="B1" s="146"/>
      <c r="C1" s="1997"/>
      <c r="D1" s="1997"/>
      <c r="E1" s="1997"/>
      <c r="F1" s="1997"/>
      <c r="G1" s="1997"/>
      <c r="H1" s="1997"/>
      <c r="I1" s="1997"/>
      <c r="J1" s="1997"/>
      <c r="K1" s="1997"/>
      <c r="L1" s="1997"/>
    </row>
    <row r="2" spans="1:25" ht="28.5" customHeight="1" x14ac:dyDescent="0.25">
      <c r="A2" s="784" t="s">
        <v>775</v>
      </c>
      <c r="B2" s="379" t="s">
        <v>429</v>
      </c>
      <c r="C2" s="149" t="s">
        <v>2478</v>
      </c>
      <c r="D2" s="149" t="s">
        <v>2479</v>
      </c>
      <c r="E2" s="1996" t="s">
        <v>2480</v>
      </c>
      <c r="F2" s="2700" t="s">
        <v>2481</v>
      </c>
      <c r="G2" s="2701"/>
      <c r="H2" s="2701"/>
      <c r="I2" s="2701"/>
      <c r="J2" s="2697" t="s">
        <v>2482</v>
      </c>
      <c r="K2" s="2698"/>
      <c r="L2" s="2699"/>
      <c r="M2" s="2717" t="s">
        <v>549</v>
      </c>
      <c r="N2" s="2717"/>
      <c r="O2" s="2717"/>
      <c r="P2" s="2717"/>
      <c r="Q2" s="2717"/>
      <c r="R2" s="2717"/>
      <c r="S2" s="2717"/>
      <c r="T2" s="2717"/>
      <c r="U2" s="2717"/>
      <c r="V2" s="2717"/>
      <c r="W2" s="2717"/>
      <c r="X2" s="2718"/>
    </row>
    <row r="3" spans="1:25" ht="25.5" x14ac:dyDescent="0.25">
      <c r="A3" s="179" t="s">
        <v>667</v>
      </c>
      <c r="B3" s="277">
        <v>1</v>
      </c>
      <c r="C3" s="2009" t="s">
        <v>1065</v>
      </c>
      <c r="D3" s="2009" t="s">
        <v>1065</v>
      </c>
      <c r="E3" s="354" t="s">
        <v>1065</v>
      </c>
      <c r="F3" s="2004" t="s">
        <v>467</v>
      </c>
      <c r="G3" s="2009" t="s">
        <v>1807</v>
      </c>
      <c r="H3" s="354" t="s">
        <v>1808</v>
      </c>
      <c r="I3" s="2018" t="s">
        <v>672</v>
      </c>
      <c r="J3" s="2004" t="s">
        <v>2483</v>
      </c>
      <c r="K3" s="2009" t="s">
        <v>2484</v>
      </c>
      <c r="L3" s="354" t="s">
        <v>2485</v>
      </c>
      <c r="M3" s="1261" t="s">
        <v>920</v>
      </c>
      <c r="N3" s="1262" t="s">
        <v>921</v>
      </c>
      <c r="O3" s="1262" t="s">
        <v>922</v>
      </c>
      <c r="P3" s="1262" t="s">
        <v>1557</v>
      </c>
      <c r="Q3" s="1262" t="s">
        <v>1556</v>
      </c>
      <c r="R3" s="1262" t="s">
        <v>923</v>
      </c>
      <c r="S3" s="1262" t="s">
        <v>1632</v>
      </c>
      <c r="T3" s="1262" t="s">
        <v>1114</v>
      </c>
      <c r="U3" s="1262" t="s">
        <v>1378</v>
      </c>
      <c r="V3" s="1262" t="s">
        <v>2489</v>
      </c>
      <c r="W3" s="1262" t="s">
        <v>2490</v>
      </c>
      <c r="X3" s="1262" t="s">
        <v>2491</v>
      </c>
    </row>
    <row r="4" spans="1:25" ht="12.75" customHeight="1" x14ac:dyDescent="0.25">
      <c r="A4" s="244" t="s">
        <v>669</v>
      </c>
      <c r="B4" s="278"/>
      <c r="C4" s="2019"/>
      <c r="D4" s="2019"/>
      <c r="E4" s="2087"/>
      <c r="F4" s="2021"/>
      <c r="G4" s="2019"/>
      <c r="H4" s="2022"/>
      <c r="I4" s="2020"/>
      <c r="J4" s="2088"/>
      <c r="K4" s="2019"/>
      <c r="L4" s="2022"/>
      <c r="M4" s="187"/>
      <c r="N4" s="188"/>
      <c r="O4" s="188"/>
      <c r="P4" s="188"/>
      <c r="Q4" s="188"/>
      <c r="R4" s="188"/>
      <c r="S4" s="188"/>
      <c r="T4" s="188"/>
      <c r="U4" s="188"/>
      <c r="V4" s="188"/>
      <c r="W4" s="188"/>
      <c r="X4" s="188"/>
      <c r="Y4" s="338"/>
    </row>
    <row r="5" spans="1:25" ht="12.75" customHeight="1" x14ac:dyDescent="0.25">
      <c r="A5" s="245" t="s">
        <v>543</v>
      </c>
      <c r="B5" s="280">
        <v>2</v>
      </c>
      <c r="C5" s="852">
        <v>2889951.94</v>
      </c>
      <c r="D5" s="852">
        <v>4142385.0100000002</v>
      </c>
      <c r="E5" s="1146">
        <v>2607911.0211719652</v>
      </c>
      <c r="F5" s="856">
        <v>3880165</v>
      </c>
      <c r="G5" s="852">
        <v>4305538</v>
      </c>
      <c r="H5" s="923">
        <v>4305538</v>
      </c>
      <c r="I5" s="855">
        <v>4305538</v>
      </c>
      <c r="J5" s="856">
        <v>6196106.2399299834</v>
      </c>
      <c r="K5" s="852">
        <v>6567872.6143257823</v>
      </c>
      <c r="L5" s="923">
        <v>6961944.9711853284</v>
      </c>
      <c r="M5" s="194"/>
      <c r="N5" s="195"/>
      <c r="O5" s="195"/>
      <c r="P5" s="195"/>
      <c r="Q5" s="195"/>
      <c r="R5" s="195"/>
      <c r="S5" s="195"/>
      <c r="T5" s="195"/>
      <c r="U5" s="195"/>
      <c r="V5" s="195"/>
      <c r="W5" s="195"/>
      <c r="X5" s="195"/>
      <c r="Y5" s="338"/>
    </row>
    <row r="6" spans="1:25" ht="12.75" customHeight="1" x14ac:dyDescent="0.25">
      <c r="A6" s="245" t="s">
        <v>1617</v>
      </c>
      <c r="B6" s="280"/>
      <c r="C6" s="1030">
        <v>0</v>
      </c>
      <c r="D6" s="1030">
        <v>0</v>
      </c>
      <c r="E6" s="2024">
        <v>0</v>
      </c>
      <c r="F6" s="1031">
        <v>0</v>
      </c>
      <c r="G6" s="1030">
        <v>0</v>
      </c>
      <c r="H6" s="2025">
        <v>0</v>
      </c>
      <c r="I6" s="1067">
        <v>0</v>
      </c>
      <c r="J6" s="1031">
        <v>0</v>
      </c>
      <c r="K6" s="1030">
        <v>0</v>
      </c>
      <c r="L6" s="2025">
        <v>0</v>
      </c>
      <c r="M6" s="194"/>
      <c r="N6" s="195"/>
      <c r="O6" s="195"/>
      <c r="P6" s="195"/>
      <c r="Q6" s="195"/>
      <c r="R6" s="195"/>
      <c r="S6" s="195"/>
      <c r="T6" s="195"/>
      <c r="U6" s="195"/>
      <c r="V6" s="195"/>
      <c r="W6" s="195"/>
      <c r="X6" s="195"/>
      <c r="Y6" s="338"/>
    </row>
    <row r="7" spans="1:25" ht="12.75" customHeight="1" x14ac:dyDescent="0.25">
      <c r="A7" s="249" t="s">
        <v>1809</v>
      </c>
      <c r="B7" s="280">
        <v>2</v>
      </c>
      <c r="C7" s="852">
        <v>4997575</v>
      </c>
      <c r="D7" s="852">
        <v>5866359.4800000004</v>
      </c>
      <c r="E7" s="1146">
        <v>7261558.4100000001</v>
      </c>
      <c r="F7" s="856">
        <v>5289862.8486000011</v>
      </c>
      <c r="G7" s="852">
        <v>6919055</v>
      </c>
      <c r="H7" s="923">
        <v>6919055</v>
      </c>
      <c r="I7" s="855">
        <v>6919055</v>
      </c>
      <c r="J7" s="856">
        <v>10177803.952679999</v>
      </c>
      <c r="K7" s="852">
        <v>10788472.189840801</v>
      </c>
      <c r="L7" s="923">
        <v>11435780.51723125</v>
      </c>
      <c r="M7" s="194"/>
      <c r="N7" s="195"/>
      <c r="O7" s="195"/>
      <c r="P7" s="195"/>
      <c r="Q7" s="195"/>
      <c r="R7" s="195"/>
      <c r="S7" s="195"/>
      <c r="T7" s="195"/>
      <c r="U7" s="195"/>
      <c r="V7" s="195"/>
      <c r="W7" s="195"/>
      <c r="X7" s="195"/>
      <c r="Y7" s="338"/>
    </row>
    <row r="8" spans="1:25" ht="12.75" customHeight="1" x14ac:dyDescent="0.25">
      <c r="A8" s="249" t="s">
        <v>1810</v>
      </c>
      <c r="B8" s="280">
        <v>2</v>
      </c>
      <c r="C8" s="852">
        <v>3007306</v>
      </c>
      <c r="D8" s="852">
        <v>3231883.5300000003</v>
      </c>
      <c r="E8" s="1146">
        <v>3806969.3400000008</v>
      </c>
      <c r="F8" s="856">
        <v>2109020</v>
      </c>
      <c r="G8" s="852">
        <v>3464384</v>
      </c>
      <c r="H8" s="923">
        <v>3464384</v>
      </c>
      <c r="I8" s="855">
        <v>3464384</v>
      </c>
      <c r="J8" s="856">
        <v>3431423</v>
      </c>
      <c r="K8" s="852">
        <v>3637308.38</v>
      </c>
      <c r="L8" s="923">
        <v>3855546.8827999998</v>
      </c>
      <c r="M8" s="194"/>
      <c r="N8" s="195"/>
      <c r="O8" s="195"/>
      <c r="P8" s="195"/>
      <c r="Q8" s="195"/>
      <c r="R8" s="195"/>
      <c r="S8" s="195"/>
      <c r="T8" s="195"/>
      <c r="U8" s="195"/>
      <c r="V8" s="195"/>
      <c r="W8" s="195"/>
      <c r="X8" s="195"/>
      <c r="Y8" s="338"/>
    </row>
    <row r="9" spans="1:25" ht="12.75" customHeight="1" x14ac:dyDescent="0.25">
      <c r="A9" s="249" t="s">
        <v>936</v>
      </c>
      <c r="B9" s="280">
        <v>2</v>
      </c>
      <c r="C9" s="852">
        <v>2219998.0700000003</v>
      </c>
      <c r="D9" s="852">
        <v>1596030.43</v>
      </c>
      <c r="E9" s="1146">
        <v>2344313.23</v>
      </c>
      <c r="F9" s="856">
        <v>1603001</v>
      </c>
      <c r="G9" s="852">
        <v>1719799</v>
      </c>
      <c r="H9" s="923">
        <v>1719799</v>
      </c>
      <c r="I9" s="855">
        <v>1719799</v>
      </c>
      <c r="J9" s="856">
        <v>4516765.4241599999</v>
      </c>
      <c r="K9" s="852">
        <v>4787771.3496096004</v>
      </c>
      <c r="L9" s="923">
        <v>5075037.6285861796</v>
      </c>
      <c r="M9" s="194"/>
      <c r="N9" s="195"/>
      <c r="O9" s="195"/>
      <c r="P9" s="195"/>
      <c r="Q9" s="195"/>
      <c r="R9" s="195"/>
      <c r="S9" s="195"/>
      <c r="T9" s="195"/>
      <c r="U9" s="195"/>
      <c r="V9" s="195"/>
      <c r="W9" s="195"/>
      <c r="X9" s="195"/>
      <c r="Y9" s="338"/>
    </row>
    <row r="10" spans="1:25" ht="12.75" customHeight="1" x14ac:dyDescent="0.25">
      <c r="A10" s="249" t="s">
        <v>1047</v>
      </c>
      <c r="B10" s="280">
        <v>2</v>
      </c>
      <c r="C10" s="205">
        <v>1951875.28</v>
      </c>
      <c r="D10" s="205">
        <v>2234835.48</v>
      </c>
      <c r="E10" s="256">
        <v>2433361</v>
      </c>
      <c r="F10" s="246">
        <v>2592865</v>
      </c>
      <c r="G10" s="205">
        <v>2502865</v>
      </c>
      <c r="H10" s="475">
        <v>2502865</v>
      </c>
      <c r="I10" s="208">
        <v>2502865</v>
      </c>
      <c r="J10" s="209">
        <v>3268366.6</v>
      </c>
      <c r="K10" s="205">
        <v>3464468.5959999999</v>
      </c>
      <c r="L10" s="256">
        <v>3672336.7117599999</v>
      </c>
      <c r="M10" s="194"/>
      <c r="N10" s="195"/>
      <c r="O10" s="195"/>
      <c r="P10" s="195"/>
      <c r="Q10" s="195"/>
      <c r="R10" s="195"/>
      <c r="S10" s="195"/>
      <c r="T10" s="195"/>
      <c r="U10" s="195"/>
      <c r="V10" s="195"/>
      <c r="W10" s="195"/>
      <c r="X10" s="195"/>
      <c r="Y10" s="338"/>
    </row>
    <row r="11" spans="1:25" ht="12.75" customHeight="1" x14ac:dyDescent="0.25">
      <c r="A11" s="249" t="s">
        <v>938</v>
      </c>
      <c r="B11" s="279"/>
      <c r="C11" s="1030">
        <v>0</v>
      </c>
      <c r="D11" s="1030">
        <v>0</v>
      </c>
      <c r="E11" s="1065">
        <v>0</v>
      </c>
      <c r="F11" s="1066">
        <v>0</v>
      </c>
      <c r="G11" s="1030">
        <v>0</v>
      </c>
      <c r="H11" s="1065">
        <v>0</v>
      </c>
      <c r="I11" s="1067">
        <v>0</v>
      </c>
      <c r="J11" s="1031">
        <v>0</v>
      </c>
      <c r="K11" s="1030">
        <v>0</v>
      </c>
      <c r="L11" s="1065">
        <v>0</v>
      </c>
      <c r="M11" s="194"/>
      <c r="N11" s="195"/>
      <c r="O11" s="195"/>
      <c r="P11" s="195"/>
      <c r="Q11" s="195"/>
      <c r="R11" s="195"/>
      <c r="S11" s="195"/>
      <c r="T11" s="195"/>
      <c r="U11" s="195"/>
      <c r="V11" s="195"/>
      <c r="W11" s="195"/>
      <c r="X11" s="195"/>
      <c r="Y11" s="338"/>
    </row>
    <row r="12" spans="1:25" ht="12.75" customHeight="1" x14ac:dyDescent="0.25">
      <c r="A12" s="249" t="s">
        <v>1619</v>
      </c>
      <c r="B12" s="279"/>
      <c r="C12" s="1030">
        <v>347573.96734127984</v>
      </c>
      <c r="D12" s="1030">
        <v>410449.80811294453</v>
      </c>
      <c r="E12" s="1065">
        <v>408567.81999999995</v>
      </c>
      <c r="F12" s="1066">
        <v>498910</v>
      </c>
      <c r="G12" s="1030">
        <v>441600</v>
      </c>
      <c r="H12" s="1065">
        <v>441600</v>
      </c>
      <c r="I12" s="1067">
        <v>441600</v>
      </c>
      <c r="J12" s="1031">
        <v>621204.84571428574</v>
      </c>
      <c r="K12" s="1030">
        <v>658477.13645714289</v>
      </c>
      <c r="L12" s="1065">
        <v>697985.76464457146</v>
      </c>
      <c r="M12" s="194"/>
      <c r="N12" s="195"/>
      <c r="O12" s="195"/>
      <c r="P12" s="195"/>
      <c r="Q12" s="195"/>
      <c r="R12" s="195"/>
      <c r="S12" s="195"/>
      <c r="T12" s="195"/>
      <c r="U12" s="195"/>
      <c r="V12" s="195"/>
      <c r="W12" s="195"/>
      <c r="X12" s="195"/>
    </row>
    <row r="13" spans="1:25" ht="12.75" customHeight="1" x14ac:dyDescent="0.25">
      <c r="A13" s="245" t="s">
        <v>473</v>
      </c>
      <c r="B13" s="279"/>
      <c r="C13" s="1030">
        <v>864018.77999999991</v>
      </c>
      <c r="D13" s="1030">
        <v>416264.64</v>
      </c>
      <c r="E13" s="1065">
        <v>350594.88699999999</v>
      </c>
      <c r="F13" s="1066">
        <v>250000</v>
      </c>
      <c r="G13" s="1030">
        <v>320000</v>
      </c>
      <c r="H13" s="1065">
        <v>320000</v>
      </c>
      <c r="I13" s="1067">
        <v>320000</v>
      </c>
      <c r="J13" s="1031">
        <v>380000</v>
      </c>
      <c r="K13" s="1030">
        <v>402800</v>
      </c>
      <c r="L13" s="1065">
        <v>426968</v>
      </c>
      <c r="M13" s="194"/>
      <c r="N13" s="195"/>
      <c r="O13" s="195"/>
      <c r="P13" s="195"/>
      <c r="Q13" s="195"/>
      <c r="R13" s="195"/>
      <c r="S13" s="195"/>
      <c r="T13" s="195"/>
      <c r="U13" s="195"/>
      <c r="V13" s="195"/>
      <c r="W13" s="195"/>
      <c r="X13" s="195"/>
    </row>
    <row r="14" spans="1:25" ht="12.75" customHeight="1" x14ac:dyDescent="0.25">
      <c r="A14" s="245" t="s">
        <v>474</v>
      </c>
      <c r="B14" s="279"/>
      <c r="C14" s="1030">
        <v>1520977.19</v>
      </c>
      <c r="D14" s="1030">
        <v>1738372.84</v>
      </c>
      <c r="E14" s="1065">
        <v>1603693.77</v>
      </c>
      <c r="F14" s="1066">
        <v>1800000</v>
      </c>
      <c r="G14" s="1030">
        <v>1800000</v>
      </c>
      <c r="H14" s="1065">
        <v>1800000</v>
      </c>
      <c r="I14" s="1067">
        <v>1800000</v>
      </c>
      <c r="J14" s="1031">
        <v>1800000</v>
      </c>
      <c r="K14" s="1030">
        <v>1908000</v>
      </c>
      <c r="L14" s="1065">
        <v>2022480</v>
      </c>
      <c r="M14" s="194"/>
      <c r="N14" s="195"/>
      <c r="O14" s="195"/>
      <c r="P14" s="195"/>
      <c r="Q14" s="195"/>
      <c r="R14" s="195"/>
      <c r="S14" s="195"/>
      <c r="T14" s="195"/>
      <c r="U14" s="195"/>
      <c r="V14" s="195"/>
      <c r="W14" s="195"/>
      <c r="X14" s="195"/>
    </row>
    <row r="15" spans="1:25" ht="12.75" customHeight="1" x14ac:dyDescent="0.25">
      <c r="A15" s="245" t="s">
        <v>1538</v>
      </c>
      <c r="B15" s="279"/>
      <c r="C15" s="2089">
        <v>0</v>
      </c>
      <c r="D15" s="2089">
        <v>0</v>
      </c>
      <c r="E15" s="2090">
        <v>0</v>
      </c>
      <c r="F15" s="2091">
        <v>0</v>
      </c>
      <c r="G15" s="2089">
        <v>0</v>
      </c>
      <c r="H15" s="2090">
        <v>0</v>
      </c>
      <c r="I15" s="1786">
        <v>0</v>
      </c>
      <c r="J15" s="2092">
        <v>0</v>
      </c>
      <c r="K15" s="2089">
        <v>0</v>
      </c>
      <c r="L15" s="2090">
        <v>0</v>
      </c>
      <c r="M15" s="194"/>
      <c r="N15" s="195"/>
      <c r="O15" s="195"/>
      <c r="P15" s="195"/>
      <c r="Q15" s="195"/>
      <c r="R15" s="195"/>
      <c r="S15" s="195"/>
      <c r="T15" s="195"/>
      <c r="U15" s="195"/>
      <c r="V15" s="195"/>
      <c r="W15" s="195"/>
      <c r="X15" s="195"/>
    </row>
    <row r="16" spans="1:25" ht="12.75" customHeight="1" x14ac:dyDescent="0.25">
      <c r="A16" s="245" t="s">
        <v>475</v>
      </c>
      <c r="B16" s="279"/>
      <c r="C16" s="1030">
        <v>4441817.17</v>
      </c>
      <c r="D16" s="1030">
        <v>15149014.309999997</v>
      </c>
      <c r="E16" s="1065">
        <v>19133664.5297</v>
      </c>
      <c r="F16" s="1066">
        <v>16108000</v>
      </c>
      <c r="G16" s="1030">
        <v>16088000</v>
      </c>
      <c r="H16" s="1065">
        <v>16088000</v>
      </c>
      <c r="I16" s="1067">
        <v>16088000</v>
      </c>
      <c r="J16" s="1031">
        <v>19089500</v>
      </c>
      <c r="K16" s="1030">
        <v>20234870</v>
      </c>
      <c r="L16" s="1065">
        <v>21448962.199999999</v>
      </c>
      <c r="M16" s="194"/>
      <c r="N16" s="195"/>
      <c r="O16" s="195"/>
      <c r="P16" s="195"/>
      <c r="Q16" s="195"/>
      <c r="R16" s="195"/>
      <c r="S16" s="195"/>
      <c r="T16" s="195"/>
      <c r="U16" s="195"/>
      <c r="V16" s="195"/>
      <c r="W16" s="195"/>
      <c r="X16" s="195"/>
    </row>
    <row r="17" spans="1:24" ht="12.75" customHeight="1" x14ac:dyDescent="0.25">
      <c r="A17" s="245" t="s">
        <v>476</v>
      </c>
      <c r="B17" s="279"/>
      <c r="C17" s="1030">
        <v>235340.30000000002</v>
      </c>
      <c r="D17" s="1030">
        <v>301476.14</v>
      </c>
      <c r="E17" s="1065">
        <v>474987.1</v>
      </c>
      <c r="F17" s="1066">
        <v>419800</v>
      </c>
      <c r="G17" s="1030">
        <v>564300</v>
      </c>
      <c r="H17" s="1065">
        <v>564300</v>
      </c>
      <c r="I17" s="1067">
        <v>564300</v>
      </c>
      <c r="J17" s="1031">
        <v>419000</v>
      </c>
      <c r="K17" s="1030">
        <v>444140</v>
      </c>
      <c r="L17" s="1065">
        <v>470788.4</v>
      </c>
      <c r="M17" s="194"/>
      <c r="N17" s="195"/>
      <c r="O17" s="195"/>
      <c r="P17" s="195"/>
      <c r="Q17" s="195"/>
      <c r="R17" s="195"/>
      <c r="S17" s="195"/>
      <c r="T17" s="195"/>
      <c r="U17" s="195"/>
      <c r="V17" s="195"/>
      <c r="W17" s="195"/>
      <c r="X17" s="195"/>
    </row>
    <row r="18" spans="1:24" ht="12.75" customHeight="1" x14ac:dyDescent="0.25">
      <c r="A18" s="249" t="s">
        <v>1514</v>
      </c>
      <c r="B18" s="280"/>
      <c r="C18" s="2089">
        <v>40785.32</v>
      </c>
      <c r="D18" s="2089">
        <v>13568.14</v>
      </c>
      <c r="E18" s="2090">
        <v>14608.56</v>
      </c>
      <c r="F18" s="2091">
        <v>20000</v>
      </c>
      <c r="G18" s="2089">
        <v>12000</v>
      </c>
      <c r="H18" s="2090">
        <v>12000</v>
      </c>
      <c r="I18" s="1786">
        <v>12000</v>
      </c>
      <c r="J18" s="2092">
        <v>12000</v>
      </c>
      <c r="K18" s="2089">
        <v>12720</v>
      </c>
      <c r="L18" s="2090">
        <v>13483.2</v>
      </c>
      <c r="M18" s="194"/>
      <c r="N18" s="195"/>
      <c r="O18" s="195"/>
      <c r="P18" s="195"/>
      <c r="Q18" s="195"/>
      <c r="R18" s="195"/>
      <c r="S18" s="195"/>
      <c r="T18" s="195"/>
      <c r="U18" s="195"/>
      <c r="V18" s="195"/>
      <c r="W18" s="195"/>
      <c r="X18" s="195"/>
    </row>
    <row r="19" spans="1:24" ht="12.75" customHeight="1" x14ac:dyDescent="0.25">
      <c r="A19" s="245" t="s">
        <v>35</v>
      </c>
      <c r="B19" s="279"/>
      <c r="C19" s="1030">
        <v>29097540.5638</v>
      </c>
      <c r="D19" s="1030">
        <v>13251633.682200002</v>
      </c>
      <c r="E19" s="1065">
        <v>16301897.869999999</v>
      </c>
      <c r="F19" s="1066">
        <v>18061000</v>
      </c>
      <c r="G19" s="1030">
        <v>18623000</v>
      </c>
      <c r="H19" s="1065">
        <v>18623000</v>
      </c>
      <c r="I19" s="1067">
        <v>18623000</v>
      </c>
      <c r="J19" s="1031">
        <v>20785000</v>
      </c>
      <c r="K19" s="1030">
        <v>22636800</v>
      </c>
      <c r="L19" s="1065">
        <v>24289408</v>
      </c>
      <c r="M19" s="206"/>
      <c r="N19" s="195"/>
      <c r="O19" s="195"/>
      <c r="P19" s="195"/>
      <c r="Q19" s="195"/>
      <c r="R19" s="195"/>
      <c r="S19" s="195"/>
      <c r="T19" s="195"/>
      <c r="U19" s="195"/>
      <c r="V19" s="195"/>
      <c r="W19" s="195"/>
      <c r="X19" s="195"/>
    </row>
    <row r="20" spans="1:24" ht="12.75" customHeight="1" x14ac:dyDescent="0.25">
      <c r="A20" s="245" t="s">
        <v>1566</v>
      </c>
      <c r="B20" s="279">
        <v>2</v>
      </c>
      <c r="C20" s="205">
        <v>11665846.659999998</v>
      </c>
      <c r="D20" s="205">
        <v>1431089.4700000002</v>
      </c>
      <c r="E20" s="256">
        <v>672860.51</v>
      </c>
      <c r="F20" s="246">
        <v>516250</v>
      </c>
      <c r="G20" s="205">
        <v>1049050</v>
      </c>
      <c r="H20" s="256">
        <v>1049050</v>
      </c>
      <c r="I20" s="208">
        <v>1049050</v>
      </c>
      <c r="J20" s="209">
        <v>274750</v>
      </c>
      <c r="K20" s="205">
        <v>291235</v>
      </c>
      <c r="L20" s="256">
        <v>308709.10000000009</v>
      </c>
      <c r="M20" s="206"/>
      <c r="N20" s="195"/>
      <c r="O20" s="195"/>
      <c r="P20" s="195"/>
      <c r="Q20" s="195"/>
      <c r="R20" s="195"/>
      <c r="S20" s="195"/>
      <c r="T20" s="195"/>
      <c r="U20" s="195"/>
      <c r="V20" s="195"/>
      <c r="W20" s="195"/>
      <c r="X20" s="195"/>
    </row>
    <row r="21" spans="1:24" ht="12.75" customHeight="1" x14ac:dyDescent="0.25">
      <c r="A21" s="245" t="s">
        <v>477</v>
      </c>
      <c r="B21" s="279"/>
      <c r="C21" s="2089">
        <v>9466</v>
      </c>
      <c r="D21" s="1030">
        <v>2559</v>
      </c>
      <c r="E21" s="1065">
        <v>24900</v>
      </c>
      <c r="F21" s="1066">
        <v>56100</v>
      </c>
      <c r="G21" s="1030">
        <v>75000</v>
      </c>
      <c r="H21" s="1065">
        <v>75000</v>
      </c>
      <c r="I21" s="1067">
        <v>75000</v>
      </c>
      <c r="J21" s="1031">
        <v>225000</v>
      </c>
      <c r="K21" s="1030">
        <v>238500</v>
      </c>
      <c r="L21" s="1065">
        <v>252810</v>
      </c>
      <c r="M21" s="206"/>
      <c r="N21" s="195"/>
      <c r="O21" s="195"/>
      <c r="P21" s="195"/>
      <c r="Q21" s="195"/>
      <c r="R21" s="195"/>
      <c r="S21" s="195"/>
      <c r="T21" s="195"/>
      <c r="U21" s="195"/>
      <c r="V21" s="195"/>
      <c r="W21" s="195"/>
      <c r="X21" s="195"/>
    </row>
    <row r="22" spans="1:24" ht="24" customHeight="1" x14ac:dyDescent="0.25">
      <c r="A22" s="1107" t="s">
        <v>1048</v>
      </c>
      <c r="B22" s="1108"/>
      <c r="C22" s="2093">
        <v>63076900.941141278</v>
      </c>
      <c r="D22" s="2093">
        <v>49785921.96031294</v>
      </c>
      <c r="E22" s="2094">
        <v>57439888.047871962</v>
      </c>
      <c r="F22" s="2095">
        <v>53204973.8486</v>
      </c>
      <c r="G22" s="2093">
        <v>57884591</v>
      </c>
      <c r="H22" s="2094">
        <v>57884591</v>
      </c>
      <c r="I22" s="2095">
        <v>57884591</v>
      </c>
      <c r="J22" s="2096">
        <v>71196920.062484264</v>
      </c>
      <c r="K22" s="2093">
        <v>76073435.266233325</v>
      </c>
      <c r="L22" s="2094">
        <v>80932241.376207322</v>
      </c>
      <c r="M22" s="197">
        <v>0</v>
      </c>
      <c r="N22" s="198">
        <v>0</v>
      </c>
      <c r="O22" s="198">
        <v>0</v>
      </c>
      <c r="P22" s="198">
        <v>0</v>
      </c>
      <c r="Q22" s="198">
        <v>0</v>
      </c>
      <c r="R22" s="198">
        <v>0</v>
      </c>
      <c r="S22" s="198">
        <v>0</v>
      </c>
      <c r="T22" s="198">
        <v>0</v>
      </c>
      <c r="U22" s="198">
        <v>0</v>
      </c>
      <c r="V22" s="198">
        <v>0</v>
      </c>
      <c r="W22" s="198">
        <v>0</v>
      </c>
      <c r="X22" s="198">
        <v>0</v>
      </c>
    </row>
    <row r="23" spans="1:24" ht="5.0999999999999996" customHeight="1" x14ac:dyDescent="0.25">
      <c r="A23" s="265"/>
      <c r="B23" s="279"/>
      <c r="C23" s="205"/>
      <c r="D23" s="205"/>
      <c r="E23" s="256"/>
      <c r="F23" s="246"/>
      <c r="G23" s="205"/>
      <c r="H23" s="256"/>
      <c r="I23" s="208"/>
      <c r="J23" s="209"/>
      <c r="K23" s="205"/>
      <c r="L23" s="256"/>
      <c r="M23" s="194"/>
      <c r="N23" s="195"/>
      <c r="O23" s="195"/>
      <c r="P23" s="195"/>
      <c r="Q23" s="195"/>
      <c r="R23" s="195"/>
      <c r="S23" s="195"/>
      <c r="T23" s="195"/>
      <c r="U23" s="195"/>
      <c r="V23" s="195"/>
      <c r="W23" s="195"/>
      <c r="X23" s="195"/>
    </row>
    <row r="24" spans="1:24" ht="11.25" customHeight="1" x14ac:dyDescent="0.25">
      <c r="A24" s="244" t="s">
        <v>1654</v>
      </c>
      <c r="B24" s="281"/>
      <c r="C24" s="205"/>
      <c r="D24" s="205"/>
      <c r="E24" s="256"/>
      <c r="F24" s="246"/>
      <c r="G24" s="205"/>
      <c r="H24" s="256"/>
      <c r="I24" s="208"/>
      <c r="J24" s="209"/>
      <c r="K24" s="205"/>
      <c r="L24" s="256"/>
      <c r="M24" s="194"/>
      <c r="N24" s="195"/>
      <c r="O24" s="195"/>
      <c r="P24" s="195"/>
      <c r="Q24" s="195"/>
      <c r="R24" s="195"/>
      <c r="S24" s="195"/>
      <c r="T24" s="195"/>
      <c r="U24" s="195"/>
      <c r="V24" s="195"/>
      <c r="W24" s="195"/>
      <c r="X24" s="195"/>
    </row>
    <row r="25" spans="1:24" ht="11.25" customHeight="1" x14ac:dyDescent="0.25">
      <c r="A25" s="249" t="s">
        <v>478</v>
      </c>
      <c r="B25" s="280">
        <v>2</v>
      </c>
      <c r="C25" s="205">
        <v>11824406</v>
      </c>
      <c r="D25" s="205">
        <v>13211037.769999998</v>
      </c>
      <c r="E25" s="256">
        <v>17230064.529999997</v>
      </c>
      <c r="F25" s="246">
        <v>23278806</v>
      </c>
      <c r="G25" s="205">
        <v>24455582</v>
      </c>
      <c r="H25" s="256">
        <v>24455582</v>
      </c>
      <c r="I25" s="208">
        <v>24455582</v>
      </c>
      <c r="J25" s="209">
        <v>28605520.959159125</v>
      </c>
      <c r="K25" s="205">
        <v>30321852.216708675</v>
      </c>
      <c r="L25" s="256">
        <v>32141163.349711191</v>
      </c>
      <c r="M25" s="194"/>
      <c r="N25" s="195"/>
      <c r="O25" s="195"/>
      <c r="P25" s="195"/>
      <c r="Q25" s="195"/>
      <c r="R25" s="195"/>
      <c r="S25" s="195"/>
      <c r="T25" s="195"/>
      <c r="U25" s="195"/>
      <c r="V25" s="195"/>
      <c r="W25" s="195"/>
      <c r="X25" s="195"/>
    </row>
    <row r="26" spans="1:24" ht="11.25" customHeight="1" x14ac:dyDescent="0.25">
      <c r="A26" s="249" t="s">
        <v>532</v>
      </c>
      <c r="B26" s="280"/>
      <c r="C26" s="1030">
        <v>1583008</v>
      </c>
      <c r="D26" s="1030">
        <v>1693387.8599999999</v>
      </c>
      <c r="E26" s="1065">
        <v>1752471.87</v>
      </c>
      <c r="F26" s="1066">
        <v>1850000</v>
      </c>
      <c r="G26" s="1030">
        <v>2049548</v>
      </c>
      <c r="H26" s="1065">
        <v>2049548</v>
      </c>
      <c r="I26" s="1067">
        <v>2049548</v>
      </c>
      <c r="J26" s="1031">
        <v>2030463.0288000004</v>
      </c>
      <c r="K26" s="1030">
        <v>2152290.8105280004</v>
      </c>
      <c r="L26" s="1065">
        <v>2281428.2591596809</v>
      </c>
      <c r="M26" s="194"/>
      <c r="N26" s="195"/>
      <c r="O26" s="195"/>
      <c r="P26" s="195"/>
      <c r="Q26" s="195"/>
      <c r="R26" s="195"/>
      <c r="S26" s="195"/>
      <c r="T26" s="195"/>
      <c r="U26" s="195"/>
      <c r="V26" s="195"/>
      <c r="W26" s="195"/>
      <c r="X26" s="195"/>
    </row>
    <row r="27" spans="1:24" ht="11.25" customHeight="1" x14ac:dyDescent="0.25">
      <c r="A27" s="249" t="s">
        <v>1473</v>
      </c>
      <c r="B27" s="280">
        <v>3</v>
      </c>
      <c r="C27" s="1030">
        <v>0</v>
      </c>
      <c r="D27" s="1030">
        <v>11932059.392000075</v>
      </c>
      <c r="E27" s="1065">
        <v>3070312.04</v>
      </c>
      <c r="F27" s="1066">
        <v>8899166</v>
      </c>
      <c r="G27" s="1030">
        <v>8899166</v>
      </c>
      <c r="H27" s="1065">
        <v>8899166</v>
      </c>
      <c r="I27" s="1067">
        <v>8899166</v>
      </c>
      <c r="J27" s="1031">
        <v>3174054.46</v>
      </c>
      <c r="K27" s="1030">
        <v>3364497.7276000003</v>
      </c>
      <c r="L27" s="1065">
        <v>3566367.5912560006</v>
      </c>
      <c r="M27" s="194"/>
      <c r="N27" s="195"/>
      <c r="O27" s="195"/>
      <c r="P27" s="195"/>
      <c r="Q27" s="195"/>
      <c r="R27" s="195"/>
      <c r="S27" s="195"/>
      <c r="T27" s="195"/>
      <c r="U27" s="195"/>
      <c r="V27" s="195"/>
      <c r="W27" s="195"/>
      <c r="X27" s="195"/>
    </row>
    <row r="28" spans="1:24" ht="11.25" customHeight="1" x14ac:dyDescent="0.25">
      <c r="A28" s="249" t="s">
        <v>1503</v>
      </c>
      <c r="B28" s="280">
        <v>2</v>
      </c>
      <c r="C28" s="205">
        <v>4025720.9765738035</v>
      </c>
      <c r="D28" s="205">
        <v>5134591.4269657983</v>
      </c>
      <c r="E28" s="256">
        <v>5329449.4785402957</v>
      </c>
      <c r="F28" s="246">
        <v>5357533</v>
      </c>
      <c r="G28" s="205">
        <v>5357533</v>
      </c>
      <c r="H28" s="256">
        <v>5357533</v>
      </c>
      <c r="I28" s="208">
        <v>5357533</v>
      </c>
      <c r="J28" s="209">
        <v>5723968.540000001</v>
      </c>
      <c r="K28" s="205">
        <v>6067370.652400001</v>
      </c>
      <c r="L28" s="256">
        <v>6431376.8915440002</v>
      </c>
      <c r="M28" s="206"/>
      <c r="N28" s="207"/>
      <c r="O28" s="207"/>
      <c r="P28" s="207"/>
      <c r="Q28" s="207"/>
      <c r="R28" s="207"/>
      <c r="S28" s="207"/>
      <c r="T28" s="207"/>
      <c r="U28" s="207"/>
      <c r="V28" s="207"/>
      <c r="W28" s="207"/>
      <c r="X28" s="207"/>
    </row>
    <row r="29" spans="1:24" ht="11.25" customHeight="1" x14ac:dyDescent="0.25">
      <c r="A29" s="249" t="s">
        <v>1565</v>
      </c>
      <c r="B29" s="280"/>
      <c r="C29" s="1030">
        <v>601015.97</v>
      </c>
      <c r="D29" s="1030">
        <v>942690.57152789168</v>
      </c>
      <c r="E29" s="1065">
        <v>907385.78726348281</v>
      </c>
      <c r="F29" s="1066">
        <v>453000</v>
      </c>
      <c r="G29" s="1030">
        <v>486000</v>
      </c>
      <c r="H29" s="1065">
        <v>486000</v>
      </c>
      <c r="I29" s="1067">
        <v>486000</v>
      </c>
      <c r="J29" s="1031">
        <v>650360</v>
      </c>
      <c r="K29" s="1030">
        <v>689381.60000000009</v>
      </c>
      <c r="L29" s="1065">
        <v>730744.49600000004</v>
      </c>
      <c r="M29" s="194"/>
      <c r="N29" s="195"/>
      <c r="O29" s="195"/>
      <c r="P29" s="195"/>
      <c r="Q29" s="195"/>
      <c r="R29" s="195"/>
      <c r="S29" s="195"/>
      <c r="T29" s="195"/>
      <c r="U29" s="195"/>
      <c r="V29" s="195"/>
      <c r="W29" s="195"/>
      <c r="X29" s="195"/>
    </row>
    <row r="30" spans="1:24" ht="11.25" customHeight="1" x14ac:dyDescent="0.25">
      <c r="A30" s="249" t="s">
        <v>480</v>
      </c>
      <c r="B30" s="280">
        <v>2</v>
      </c>
      <c r="C30" s="205">
        <v>4344688.4399999995</v>
      </c>
      <c r="D30" s="205">
        <v>5984190.2699999996</v>
      </c>
      <c r="E30" s="256">
        <v>7539314.1800000006</v>
      </c>
      <c r="F30" s="246">
        <v>8450000</v>
      </c>
      <c r="G30" s="205">
        <v>10138400</v>
      </c>
      <c r="H30" s="256">
        <v>10138400</v>
      </c>
      <c r="I30" s="208">
        <v>10138400</v>
      </c>
      <c r="J30" s="209">
        <v>9317470</v>
      </c>
      <c r="K30" s="205">
        <v>9876518.2000000011</v>
      </c>
      <c r="L30" s="256">
        <v>10469109.292000001</v>
      </c>
      <c r="M30" s="194"/>
      <c r="N30" s="195"/>
      <c r="O30" s="195"/>
      <c r="P30" s="195"/>
      <c r="Q30" s="195"/>
      <c r="R30" s="195"/>
      <c r="S30" s="195"/>
      <c r="T30" s="195"/>
      <c r="U30" s="195"/>
      <c r="V30" s="195"/>
      <c r="W30" s="195"/>
      <c r="X30" s="195"/>
    </row>
    <row r="31" spans="1:24" ht="11.25" customHeight="1" x14ac:dyDescent="0.25">
      <c r="A31" s="249" t="s">
        <v>1533</v>
      </c>
      <c r="B31" s="280">
        <v>8</v>
      </c>
      <c r="C31" s="1030">
        <v>0</v>
      </c>
      <c r="D31" s="1030">
        <v>0</v>
      </c>
      <c r="E31" s="1065">
        <v>0</v>
      </c>
      <c r="F31" s="1066">
        <v>0</v>
      </c>
      <c r="G31" s="1030">
        <v>0</v>
      </c>
      <c r="H31" s="1065">
        <v>0</v>
      </c>
      <c r="I31" s="1067">
        <v>0</v>
      </c>
      <c r="J31" s="1031">
        <v>0</v>
      </c>
      <c r="K31" s="1030">
        <v>0</v>
      </c>
      <c r="L31" s="1065">
        <v>0</v>
      </c>
      <c r="M31" s="194"/>
      <c r="N31" s="195"/>
      <c r="O31" s="195"/>
      <c r="P31" s="195"/>
      <c r="Q31" s="195"/>
      <c r="R31" s="195"/>
      <c r="S31" s="195"/>
      <c r="T31" s="195"/>
      <c r="U31" s="195"/>
      <c r="V31" s="195"/>
      <c r="W31" s="195"/>
      <c r="X31" s="195"/>
    </row>
    <row r="32" spans="1:24" ht="11.25" customHeight="1" x14ac:dyDescent="0.25">
      <c r="A32" s="249" t="s">
        <v>481</v>
      </c>
      <c r="B32" s="280"/>
      <c r="C32" s="205">
        <v>1300074</v>
      </c>
      <c r="D32" s="205">
        <v>9872504.5196999982</v>
      </c>
      <c r="E32" s="256">
        <v>11539748.369999999</v>
      </c>
      <c r="F32" s="246">
        <v>0</v>
      </c>
      <c r="G32" s="205">
        <v>8485000</v>
      </c>
      <c r="H32" s="256">
        <v>8485000</v>
      </c>
      <c r="I32" s="208">
        <v>8485000</v>
      </c>
      <c r="J32" s="209">
        <v>10710000</v>
      </c>
      <c r="K32" s="205">
        <v>11352600</v>
      </c>
      <c r="L32" s="256">
        <v>12033756</v>
      </c>
      <c r="M32" s="194"/>
      <c r="N32" s="195"/>
      <c r="O32" s="195"/>
      <c r="P32" s="195"/>
      <c r="Q32" s="195"/>
      <c r="R32" s="195"/>
      <c r="S32" s="195"/>
      <c r="T32" s="195"/>
      <c r="U32" s="195"/>
      <c r="V32" s="195"/>
      <c r="W32" s="195"/>
      <c r="X32" s="195"/>
    </row>
    <row r="33" spans="1:24" ht="11.25" customHeight="1" x14ac:dyDescent="0.25">
      <c r="A33" s="249" t="s">
        <v>789</v>
      </c>
      <c r="B33" s="280"/>
      <c r="C33" s="852">
        <v>3404607.72</v>
      </c>
      <c r="D33" s="852">
        <v>1287445</v>
      </c>
      <c r="E33" s="853">
        <v>4564176</v>
      </c>
      <c r="F33" s="854">
        <v>3483076</v>
      </c>
      <c r="G33" s="852">
        <v>3558106.1428571427</v>
      </c>
      <c r="H33" s="853">
        <v>3558106.1428571427</v>
      </c>
      <c r="I33" s="855">
        <v>3558106.1428571427</v>
      </c>
      <c r="J33" s="856">
        <v>4985825.6831999999</v>
      </c>
      <c r="K33" s="852">
        <v>5284975.224192</v>
      </c>
      <c r="L33" s="853">
        <v>5602073.7376435203</v>
      </c>
      <c r="M33" s="194"/>
      <c r="N33" s="195"/>
      <c r="O33" s="195"/>
      <c r="P33" s="195"/>
      <c r="Q33" s="195"/>
      <c r="R33" s="195"/>
      <c r="S33" s="195"/>
      <c r="T33" s="195"/>
      <c r="U33" s="195"/>
      <c r="V33" s="195"/>
      <c r="W33" s="195"/>
      <c r="X33" s="195"/>
    </row>
    <row r="34" spans="1:24" ht="11.25" customHeight="1" x14ac:dyDescent="0.25">
      <c r="A34" s="249" t="s">
        <v>960</v>
      </c>
      <c r="B34" s="280" t="s">
        <v>653</v>
      </c>
      <c r="C34" s="205">
        <v>24707519.130000003</v>
      </c>
      <c r="D34" s="205">
        <v>9141790.1900000013</v>
      </c>
      <c r="E34" s="256">
        <v>15007908.000000002</v>
      </c>
      <c r="F34" s="246">
        <v>18097983.549387999</v>
      </c>
      <c r="G34" s="205">
        <v>19372809.142857142</v>
      </c>
      <c r="H34" s="256">
        <v>19372809.142857142</v>
      </c>
      <c r="I34" s="208">
        <v>19372809.142857142</v>
      </c>
      <c r="J34" s="209">
        <v>21093124.413171999</v>
      </c>
      <c r="K34" s="205">
        <v>20035711.877962321</v>
      </c>
      <c r="L34" s="256">
        <v>21354254.590640057</v>
      </c>
      <c r="M34" s="194"/>
      <c r="N34" s="195"/>
      <c r="O34" s="195"/>
      <c r="P34" s="195"/>
      <c r="Q34" s="195"/>
      <c r="R34" s="195"/>
      <c r="S34" s="195"/>
      <c r="T34" s="195"/>
      <c r="U34" s="195"/>
      <c r="V34" s="195"/>
      <c r="W34" s="195"/>
      <c r="X34" s="195"/>
    </row>
    <row r="35" spans="1:24" ht="11.25" customHeight="1" x14ac:dyDescent="0.25">
      <c r="A35" s="245" t="s">
        <v>406</v>
      </c>
      <c r="B35" s="279"/>
      <c r="C35" s="1030">
        <v>-11747.75</v>
      </c>
      <c r="D35" s="1030">
        <v>0</v>
      </c>
      <c r="E35" s="1065">
        <v>0</v>
      </c>
      <c r="F35" s="1066">
        <v>3000</v>
      </c>
      <c r="G35" s="1030">
        <v>3000</v>
      </c>
      <c r="H35" s="1065">
        <v>3000</v>
      </c>
      <c r="I35" s="1067">
        <v>3000</v>
      </c>
      <c r="J35" s="1031">
        <v>7000</v>
      </c>
      <c r="K35" s="1030">
        <v>7420</v>
      </c>
      <c r="L35" s="1065">
        <v>7865.2000000000007</v>
      </c>
      <c r="M35" s="194"/>
      <c r="N35" s="195"/>
      <c r="O35" s="195"/>
      <c r="P35" s="195"/>
      <c r="Q35" s="195"/>
      <c r="R35" s="195"/>
      <c r="S35" s="195"/>
      <c r="T35" s="195"/>
      <c r="U35" s="195"/>
      <c r="V35" s="195"/>
      <c r="W35" s="195"/>
      <c r="X35" s="195"/>
    </row>
    <row r="36" spans="1:24" ht="11.25" customHeight="1" x14ac:dyDescent="0.25">
      <c r="A36" s="1109" t="s">
        <v>1655</v>
      </c>
      <c r="B36" s="1108"/>
      <c r="C36" s="2093">
        <v>50383475.706582449</v>
      </c>
      <c r="D36" s="2093">
        <v>60570905.480193764</v>
      </c>
      <c r="E36" s="2094">
        <v>65924469.40580377</v>
      </c>
      <c r="F36" s="2095">
        <v>69872564.549387991</v>
      </c>
      <c r="G36" s="2093">
        <v>82805144.285714284</v>
      </c>
      <c r="H36" s="2094">
        <v>82805144.285714284</v>
      </c>
      <c r="I36" s="2095">
        <v>82805144.285714284</v>
      </c>
      <c r="J36" s="2096">
        <v>86297787.084331125</v>
      </c>
      <c r="K36" s="2093">
        <v>89152618.309390992</v>
      </c>
      <c r="L36" s="2094">
        <v>94618139.407954454</v>
      </c>
      <c r="M36" s="197">
        <v>0</v>
      </c>
      <c r="N36" s="198">
        <v>0</v>
      </c>
      <c r="O36" s="198">
        <v>0</v>
      </c>
      <c r="P36" s="198">
        <v>0</v>
      </c>
      <c r="Q36" s="198">
        <v>0</v>
      </c>
      <c r="R36" s="198">
        <v>0</v>
      </c>
      <c r="S36" s="198">
        <v>0</v>
      </c>
      <c r="T36" s="198">
        <v>0</v>
      </c>
      <c r="U36" s="198">
        <v>0</v>
      </c>
      <c r="V36" s="198">
        <v>0</v>
      </c>
      <c r="W36" s="198">
        <v>0</v>
      </c>
      <c r="X36" s="198">
        <v>0</v>
      </c>
    </row>
    <row r="37" spans="1:24" ht="5.0999999999999996" customHeight="1" x14ac:dyDescent="0.25">
      <c r="A37" s="265"/>
      <c r="B37" s="279"/>
      <c r="C37" s="259"/>
      <c r="D37" s="259"/>
      <c r="E37" s="260"/>
      <c r="F37" s="261"/>
      <c r="G37" s="259"/>
      <c r="H37" s="260"/>
      <c r="I37" s="261"/>
      <c r="J37" s="262"/>
      <c r="K37" s="259"/>
      <c r="L37" s="260"/>
      <c r="M37" s="219"/>
      <c r="N37" s="220"/>
      <c r="O37" s="220"/>
      <c r="P37" s="220"/>
      <c r="Q37" s="220"/>
      <c r="R37" s="220"/>
      <c r="S37" s="220"/>
      <c r="T37" s="220"/>
      <c r="U37" s="220"/>
      <c r="V37" s="220"/>
      <c r="W37" s="220"/>
      <c r="X37" s="220"/>
    </row>
    <row r="38" spans="1:24" ht="12" customHeight="1" x14ac:dyDescent="0.25">
      <c r="A38" s="257" t="s">
        <v>1725</v>
      </c>
      <c r="B38" s="279"/>
      <c r="C38" s="357">
        <v>12693425.234558828</v>
      </c>
      <c r="D38" s="357">
        <v>-10784983.519880824</v>
      </c>
      <c r="E38" s="313">
        <v>-8484581.3579318076</v>
      </c>
      <c r="F38" s="358">
        <v>-16667590.700787991</v>
      </c>
      <c r="G38" s="357">
        <v>-24920553.285714284</v>
      </c>
      <c r="H38" s="313">
        <v>-24920553.285714284</v>
      </c>
      <c r="I38" s="358">
        <v>-24920553.285714284</v>
      </c>
      <c r="J38" s="1190">
        <v>-15100867.021846861</v>
      </c>
      <c r="K38" s="357">
        <v>-13079183.043157667</v>
      </c>
      <c r="L38" s="313">
        <v>-13685898.031747133</v>
      </c>
      <c r="M38" s="219">
        <v>0</v>
      </c>
      <c r="N38" s="220">
        <v>0</v>
      </c>
      <c r="O38" s="220">
        <v>0</v>
      </c>
      <c r="P38" s="220">
        <v>0</v>
      </c>
      <c r="Q38" s="220">
        <v>0</v>
      </c>
      <c r="R38" s="220">
        <v>0</v>
      </c>
      <c r="S38" s="220">
        <v>0</v>
      </c>
      <c r="T38" s="220">
        <v>0</v>
      </c>
      <c r="U38" s="220">
        <v>0</v>
      </c>
      <c r="V38" s="220">
        <v>0</v>
      </c>
      <c r="W38" s="220">
        <v>0</v>
      </c>
      <c r="X38" s="220">
        <v>0</v>
      </c>
    </row>
    <row r="39" spans="1:24" ht="11.25" customHeight="1" x14ac:dyDescent="0.25">
      <c r="A39" s="245" t="s">
        <v>1352</v>
      </c>
      <c r="B39" s="279"/>
      <c r="C39" s="1030">
        <v>6593235.0200000005</v>
      </c>
      <c r="D39" s="1030">
        <v>13065498.3018</v>
      </c>
      <c r="E39" s="1065">
        <v>3430273</v>
      </c>
      <c r="F39" s="1066">
        <v>9488000</v>
      </c>
      <c r="G39" s="1030">
        <v>9488000</v>
      </c>
      <c r="H39" s="1065">
        <v>9488000</v>
      </c>
      <c r="I39" s="1067">
        <v>9488000</v>
      </c>
      <c r="J39" s="1031">
        <v>11510000</v>
      </c>
      <c r="K39" s="1030">
        <v>12141000</v>
      </c>
      <c r="L39" s="1065">
        <v>12843000</v>
      </c>
      <c r="M39" s="194"/>
      <c r="N39" s="195"/>
      <c r="O39" s="195"/>
      <c r="P39" s="195"/>
      <c r="Q39" s="195"/>
      <c r="R39" s="195"/>
      <c r="S39" s="195"/>
      <c r="T39" s="195"/>
      <c r="U39" s="195"/>
      <c r="V39" s="195"/>
      <c r="W39" s="195"/>
      <c r="X39" s="195"/>
    </row>
    <row r="40" spans="1:24" ht="11.25" customHeight="1" x14ac:dyDescent="0.25">
      <c r="A40" s="245" t="s">
        <v>819</v>
      </c>
      <c r="B40" s="279">
        <v>6</v>
      </c>
      <c r="C40" s="205">
        <v>0</v>
      </c>
      <c r="D40" s="205">
        <v>0</v>
      </c>
      <c r="E40" s="256">
        <v>0</v>
      </c>
      <c r="F40" s="246">
        <v>0</v>
      </c>
      <c r="G40" s="205">
        <v>0</v>
      </c>
      <c r="H40" s="256">
        <v>0</v>
      </c>
      <c r="I40" s="208">
        <v>0</v>
      </c>
      <c r="J40" s="209">
        <v>0</v>
      </c>
      <c r="K40" s="205">
        <v>0</v>
      </c>
      <c r="L40" s="256">
        <v>0</v>
      </c>
      <c r="M40" s="194"/>
      <c r="N40" s="195"/>
      <c r="O40" s="195"/>
      <c r="P40" s="195"/>
      <c r="Q40" s="195"/>
      <c r="R40" s="195"/>
      <c r="S40" s="195"/>
      <c r="T40" s="195"/>
      <c r="U40" s="195"/>
      <c r="V40" s="195"/>
      <c r="W40" s="195"/>
      <c r="X40" s="195"/>
    </row>
    <row r="41" spans="1:24" ht="11.25" customHeight="1" x14ac:dyDescent="0.25">
      <c r="A41" s="245" t="s">
        <v>39</v>
      </c>
      <c r="B41" s="279"/>
      <c r="C41" s="2089">
        <v>0</v>
      </c>
      <c r="D41" s="1030">
        <v>0</v>
      </c>
      <c r="E41" s="1065">
        <v>0</v>
      </c>
      <c r="F41" s="2097">
        <v>0</v>
      </c>
      <c r="G41" s="2098">
        <v>0</v>
      </c>
      <c r="H41" s="2099">
        <v>0</v>
      </c>
      <c r="I41" s="1067">
        <v>0</v>
      </c>
      <c r="J41" s="2100">
        <v>0</v>
      </c>
      <c r="K41" s="2098">
        <v>0</v>
      </c>
      <c r="L41" s="2099">
        <v>0</v>
      </c>
      <c r="M41" s="194"/>
      <c r="N41" s="195"/>
      <c r="O41" s="195"/>
      <c r="P41" s="195"/>
      <c r="Q41" s="195"/>
      <c r="R41" s="195"/>
      <c r="S41" s="195"/>
      <c r="T41" s="195"/>
      <c r="U41" s="195"/>
      <c r="V41" s="195"/>
      <c r="W41" s="195"/>
      <c r="X41" s="195"/>
    </row>
    <row r="42" spans="1:24" ht="25.5" x14ac:dyDescent="0.25">
      <c r="A42" s="282" t="s">
        <v>438</v>
      </c>
      <c r="B42" s="279"/>
      <c r="C42" s="2101">
        <v>19286660.254558828</v>
      </c>
      <c r="D42" s="2101">
        <v>2280514.7819191758</v>
      </c>
      <c r="E42" s="2102">
        <v>-5054308.3579318076</v>
      </c>
      <c r="F42" s="2103">
        <v>-7179590.7007879913</v>
      </c>
      <c r="G42" s="2101">
        <v>-15432553.285714284</v>
      </c>
      <c r="H42" s="2102">
        <v>-15432553.285714284</v>
      </c>
      <c r="I42" s="2103">
        <v>-15432553.285714284</v>
      </c>
      <c r="J42" s="2104">
        <v>-3590867.0218468606</v>
      </c>
      <c r="K42" s="2101">
        <v>-938183.04315766692</v>
      </c>
      <c r="L42" s="2102">
        <v>-842898.03174713254</v>
      </c>
      <c r="M42" s="194"/>
      <c r="N42" s="195"/>
      <c r="O42" s="195"/>
      <c r="P42" s="195"/>
      <c r="Q42" s="195"/>
      <c r="R42" s="195"/>
      <c r="S42" s="195"/>
      <c r="T42" s="195"/>
      <c r="U42" s="195"/>
      <c r="V42" s="195"/>
      <c r="W42" s="195"/>
      <c r="X42" s="195"/>
    </row>
    <row r="43" spans="1:24" ht="11.25" customHeight="1" x14ac:dyDescent="0.25">
      <c r="A43" s="245" t="s">
        <v>1052</v>
      </c>
      <c r="B43" s="279"/>
      <c r="C43" s="2089">
        <v>0</v>
      </c>
      <c r="D43" s="2089">
        <v>0</v>
      </c>
      <c r="E43" s="2090">
        <v>0</v>
      </c>
      <c r="F43" s="2091">
        <v>0</v>
      </c>
      <c r="G43" s="2089">
        <v>0</v>
      </c>
      <c r="H43" s="2090">
        <v>0</v>
      </c>
      <c r="I43" s="2091">
        <v>0</v>
      </c>
      <c r="J43" s="2092">
        <v>0</v>
      </c>
      <c r="K43" s="2089">
        <v>0</v>
      </c>
      <c r="L43" s="2090">
        <v>0</v>
      </c>
      <c r="M43" s="194"/>
      <c r="N43" s="195"/>
      <c r="O43" s="195"/>
      <c r="P43" s="195"/>
      <c r="Q43" s="195"/>
      <c r="R43" s="195"/>
      <c r="S43" s="195"/>
      <c r="T43" s="195"/>
      <c r="U43" s="195"/>
      <c r="V43" s="195"/>
      <c r="W43" s="195"/>
      <c r="X43" s="195"/>
    </row>
    <row r="44" spans="1:24" ht="11.25" customHeight="1" x14ac:dyDescent="0.25">
      <c r="A44" s="284" t="s">
        <v>1053</v>
      </c>
      <c r="B44" s="279"/>
      <c r="C44" s="259">
        <v>19286660.254558828</v>
      </c>
      <c r="D44" s="259">
        <v>2280514.7819191758</v>
      </c>
      <c r="E44" s="260">
        <v>-5054308.3579318076</v>
      </c>
      <c r="F44" s="261">
        <v>-7179590.7007879913</v>
      </c>
      <c r="G44" s="259">
        <v>-15432553.285714284</v>
      </c>
      <c r="H44" s="260">
        <v>-15432553.285714284</v>
      </c>
      <c r="I44" s="261">
        <v>-15432553.285714284</v>
      </c>
      <c r="J44" s="262">
        <v>-3590867.0218468606</v>
      </c>
      <c r="K44" s="259">
        <v>-938183.04315766692</v>
      </c>
      <c r="L44" s="260">
        <v>-842898.03174713254</v>
      </c>
      <c r="M44" s="194"/>
      <c r="N44" s="195"/>
      <c r="O44" s="195"/>
      <c r="P44" s="195"/>
      <c r="Q44" s="195"/>
      <c r="R44" s="195"/>
      <c r="S44" s="195"/>
      <c r="T44" s="195"/>
      <c r="U44" s="195"/>
      <c r="V44" s="195"/>
      <c r="W44" s="195"/>
      <c r="X44" s="195"/>
    </row>
    <row r="45" spans="1:24" ht="11.25" customHeight="1" x14ac:dyDescent="0.25">
      <c r="A45" s="245" t="s">
        <v>1120</v>
      </c>
      <c r="B45" s="279"/>
      <c r="C45" s="2089">
        <v>0</v>
      </c>
      <c r="D45" s="2089">
        <v>0</v>
      </c>
      <c r="E45" s="2090">
        <v>0</v>
      </c>
      <c r="F45" s="2091">
        <v>0</v>
      </c>
      <c r="G45" s="2089">
        <v>0</v>
      </c>
      <c r="H45" s="2090">
        <v>0</v>
      </c>
      <c r="I45" s="2091">
        <v>0</v>
      </c>
      <c r="J45" s="2092">
        <v>0</v>
      </c>
      <c r="K45" s="2089">
        <v>0</v>
      </c>
      <c r="L45" s="2090">
        <v>0</v>
      </c>
      <c r="M45" s="194"/>
      <c r="N45" s="195"/>
      <c r="O45" s="195"/>
      <c r="P45" s="195"/>
      <c r="Q45" s="195"/>
      <c r="R45" s="195"/>
      <c r="S45" s="195"/>
      <c r="T45" s="195"/>
      <c r="U45" s="195"/>
      <c r="V45" s="195"/>
      <c r="W45" s="195"/>
      <c r="X45" s="195"/>
    </row>
    <row r="46" spans="1:24" x14ac:dyDescent="0.25">
      <c r="A46" s="284" t="s">
        <v>191</v>
      </c>
      <c r="B46" s="279"/>
      <c r="C46" s="2101">
        <v>19286660.254558828</v>
      </c>
      <c r="D46" s="2101">
        <v>2280514.7819191758</v>
      </c>
      <c r="E46" s="2102">
        <v>-5054308.3579318076</v>
      </c>
      <c r="F46" s="2103">
        <v>-7179590.7007879913</v>
      </c>
      <c r="G46" s="2101">
        <v>-15432553.285714284</v>
      </c>
      <c r="H46" s="2102">
        <v>-15432553.285714284</v>
      </c>
      <c r="I46" s="2103">
        <v>-15432553.285714284</v>
      </c>
      <c r="J46" s="2104">
        <v>-3590867.0218468606</v>
      </c>
      <c r="K46" s="2101">
        <v>-938183.04315766692</v>
      </c>
      <c r="L46" s="2102">
        <v>-842898.03174713254</v>
      </c>
      <c r="M46" s="194"/>
      <c r="N46" s="195"/>
      <c r="O46" s="195"/>
      <c r="P46" s="195"/>
      <c r="Q46" s="195"/>
      <c r="R46" s="195"/>
      <c r="S46" s="195"/>
      <c r="T46" s="195"/>
      <c r="U46" s="195"/>
      <c r="V46" s="195"/>
      <c r="W46" s="195"/>
      <c r="X46" s="195"/>
    </row>
    <row r="47" spans="1:24" x14ac:dyDescent="0.25">
      <c r="A47" s="285" t="s">
        <v>461</v>
      </c>
      <c r="B47" s="279">
        <v>7</v>
      </c>
      <c r="C47" s="2089">
        <v>0</v>
      </c>
      <c r="D47" s="2089">
        <v>0</v>
      </c>
      <c r="E47" s="2090">
        <v>0</v>
      </c>
      <c r="F47" s="1066">
        <v>0</v>
      </c>
      <c r="G47" s="1030">
        <v>0</v>
      </c>
      <c r="H47" s="1065">
        <v>0</v>
      </c>
      <c r="I47" s="1066">
        <v>0</v>
      </c>
      <c r="J47" s="1031">
        <v>0</v>
      </c>
      <c r="K47" s="1030">
        <v>0</v>
      </c>
      <c r="L47" s="1065">
        <v>0</v>
      </c>
      <c r="M47" s="194"/>
      <c r="N47" s="195"/>
      <c r="O47" s="195"/>
      <c r="P47" s="195"/>
      <c r="Q47" s="195"/>
      <c r="R47" s="195"/>
      <c r="S47" s="195"/>
      <c r="T47" s="195"/>
      <c r="U47" s="195"/>
      <c r="V47" s="195"/>
      <c r="W47" s="195"/>
      <c r="X47" s="195"/>
    </row>
    <row r="48" spans="1:24" ht="13.5" thickBot="1" x14ac:dyDescent="0.3">
      <c r="A48" s="286" t="s">
        <v>898</v>
      </c>
      <c r="B48" s="287"/>
      <c r="C48" s="224">
        <v>19286660.254558828</v>
      </c>
      <c r="D48" s="224">
        <v>2280514.7819191758</v>
      </c>
      <c r="E48" s="320">
        <v>-5054308.3579318076</v>
      </c>
      <c r="F48" s="321">
        <v>-7179590.7007879913</v>
      </c>
      <c r="G48" s="224">
        <v>-15432553.285714284</v>
      </c>
      <c r="H48" s="320">
        <v>-15432553.285714284</v>
      </c>
      <c r="I48" s="321">
        <v>-15432553.285714284</v>
      </c>
      <c r="J48" s="322">
        <v>-3590867.0218468606</v>
      </c>
      <c r="K48" s="224">
        <v>-938183.04315766692</v>
      </c>
      <c r="L48" s="320">
        <v>-842898.03174713254</v>
      </c>
      <c r="M48" s="229">
        <v>0</v>
      </c>
      <c r="N48" s="230">
        <v>0</v>
      </c>
      <c r="O48" s="230">
        <v>0</v>
      </c>
      <c r="P48" s="230">
        <v>0</v>
      </c>
      <c r="Q48" s="230">
        <v>0</v>
      </c>
      <c r="R48" s="230">
        <v>0</v>
      </c>
      <c r="S48" s="230">
        <v>0</v>
      </c>
      <c r="T48" s="230">
        <v>0</v>
      </c>
      <c r="U48" s="230">
        <v>0</v>
      </c>
      <c r="V48" s="230">
        <v>0</v>
      </c>
      <c r="W48" s="230">
        <v>0</v>
      </c>
      <c r="X48" s="230">
        <v>0</v>
      </c>
    </row>
    <row r="49" spans="1:24" ht="13.5" thickTop="1" x14ac:dyDescent="0.25">
      <c r="A49" s="1009" t="s">
        <v>986</v>
      </c>
      <c r="B49" s="996"/>
      <c r="C49" s="998"/>
      <c r="D49" s="998"/>
      <c r="E49" s="998"/>
      <c r="F49" s="998"/>
      <c r="G49" s="998"/>
      <c r="H49" s="998"/>
      <c r="I49" s="998"/>
      <c r="J49" s="998"/>
      <c r="K49" s="998"/>
      <c r="L49" s="998"/>
      <c r="M49" s="237"/>
      <c r="N49" s="237"/>
      <c r="O49" s="237"/>
      <c r="P49" s="237"/>
      <c r="Q49" s="237"/>
      <c r="R49" s="237"/>
      <c r="S49" s="237"/>
      <c r="T49" s="237"/>
      <c r="U49" s="237"/>
      <c r="V49" s="237"/>
      <c r="W49" s="237"/>
      <c r="X49" s="237"/>
    </row>
    <row r="50" spans="1:24" ht="11.25" customHeight="1" x14ac:dyDescent="0.25">
      <c r="A50" s="274" t="s">
        <v>192</v>
      </c>
      <c r="B50" s="996"/>
      <c r="C50" s="997"/>
      <c r="D50" s="997"/>
      <c r="E50" s="998"/>
      <c r="F50" s="998"/>
      <c r="G50" s="998"/>
      <c r="H50" s="998"/>
      <c r="I50" s="998"/>
      <c r="J50" s="998"/>
      <c r="K50" s="998"/>
      <c r="L50" s="998"/>
    </row>
    <row r="51" spans="1:24" ht="11.25" customHeight="1" x14ac:dyDescent="0.25">
      <c r="A51" s="1010" t="s">
        <v>790</v>
      </c>
      <c r="B51" s="996"/>
      <c r="C51" s="998"/>
      <c r="D51" s="997"/>
      <c r="E51" s="998"/>
      <c r="F51" s="998"/>
      <c r="G51" s="998"/>
      <c r="H51" s="998"/>
      <c r="I51" s="998"/>
      <c r="J51" s="998"/>
      <c r="K51" s="998"/>
      <c r="L51" s="998"/>
    </row>
    <row r="52" spans="1:24" ht="11.25" customHeight="1" x14ac:dyDescent="0.25">
      <c r="A52" s="1010" t="s">
        <v>582</v>
      </c>
      <c r="B52" s="996"/>
      <c r="C52" s="998"/>
      <c r="D52" s="997"/>
      <c r="E52" s="998"/>
      <c r="F52" s="998"/>
      <c r="G52" s="998"/>
      <c r="H52" s="998"/>
      <c r="I52" s="998"/>
      <c r="J52" s="998"/>
      <c r="K52" s="998"/>
      <c r="L52" s="998"/>
    </row>
    <row r="53" spans="1:24" ht="11.25" customHeight="1" x14ac:dyDescent="0.25">
      <c r="A53" s="1010" t="s">
        <v>583</v>
      </c>
      <c r="B53" s="996"/>
      <c r="C53" s="998"/>
      <c r="D53" s="997"/>
      <c r="E53" s="998"/>
      <c r="F53" s="998"/>
      <c r="G53" s="998"/>
      <c r="H53" s="998"/>
      <c r="I53" s="998"/>
      <c r="J53" s="998"/>
      <c r="K53" s="998"/>
      <c r="L53" s="998"/>
    </row>
    <row r="54" spans="1:24" ht="11.25" customHeight="1" x14ac:dyDescent="0.25">
      <c r="A54" s="1010" t="s">
        <v>1264</v>
      </c>
      <c r="B54" s="996"/>
      <c r="C54" s="998"/>
      <c r="D54" s="997"/>
      <c r="E54" s="998"/>
      <c r="F54" s="998"/>
      <c r="G54" s="998"/>
      <c r="H54" s="998"/>
      <c r="I54" s="998"/>
      <c r="J54" s="998"/>
      <c r="K54" s="998"/>
      <c r="L54" s="998"/>
    </row>
    <row r="55" spans="1:24" ht="11.25" customHeight="1" x14ac:dyDescent="0.25">
      <c r="A55" s="1010" t="s">
        <v>193</v>
      </c>
      <c r="B55" s="996"/>
      <c r="C55" s="998"/>
      <c r="D55" s="997"/>
      <c r="E55" s="998"/>
      <c r="F55" s="998"/>
      <c r="G55" s="998"/>
      <c r="H55" s="998"/>
      <c r="I55" s="998"/>
      <c r="J55" s="998"/>
      <c r="K55" s="998"/>
      <c r="L55" s="998"/>
    </row>
    <row r="56" spans="1:24" ht="11.25" customHeight="1" x14ac:dyDescent="0.25">
      <c r="A56" s="1010" t="s">
        <v>1212</v>
      </c>
      <c r="B56" s="996"/>
      <c r="C56" s="998"/>
      <c r="D56" s="997"/>
      <c r="E56" s="998"/>
      <c r="F56" s="998"/>
      <c r="G56" s="998"/>
      <c r="H56" s="998"/>
      <c r="I56" s="998"/>
      <c r="J56" s="998"/>
      <c r="K56" s="998"/>
      <c r="L56" s="998"/>
    </row>
    <row r="57" spans="1:24" ht="11.25" customHeight="1" x14ac:dyDescent="0.25">
      <c r="A57" s="1010" t="s">
        <v>909</v>
      </c>
      <c r="B57" s="996"/>
      <c r="C57" s="998"/>
      <c r="D57" s="997"/>
      <c r="E57" s="998"/>
      <c r="F57" s="998"/>
      <c r="G57" s="998"/>
      <c r="H57" s="998"/>
      <c r="I57" s="998"/>
      <c r="J57" s="998"/>
      <c r="K57" s="998"/>
      <c r="L57" s="998"/>
    </row>
    <row r="58" spans="1:24" ht="11.25" customHeight="1" x14ac:dyDescent="0.25">
      <c r="A58" s="1011" t="s">
        <v>296</v>
      </c>
      <c r="B58" s="961"/>
      <c r="C58" s="2086">
        <v>0</v>
      </c>
      <c r="D58" s="2086">
        <v>-5.5879354476928711E-9</v>
      </c>
      <c r="E58" s="2086">
        <v>0</v>
      </c>
      <c r="F58" s="2086">
        <v>9493020.2380631715</v>
      </c>
      <c r="G58" s="2086">
        <v>0</v>
      </c>
      <c r="H58" s="2086">
        <v>0</v>
      </c>
      <c r="I58" s="2086"/>
      <c r="J58" s="2086">
        <v>-1.4901161193847656E-8</v>
      </c>
      <c r="K58" s="2086">
        <v>-1.4901161193847656E-8</v>
      </c>
      <c r="L58" s="2086">
        <v>0</v>
      </c>
    </row>
    <row r="59" spans="1:24" ht="11.25" customHeight="1" x14ac:dyDescent="0.25">
      <c r="A59" s="1002"/>
      <c r="B59" s="961"/>
      <c r="C59" s="2086"/>
      <c r="D59" s="2086"/>
      <c r="E59" s="2086"/>
      <c r="F59" s="2086"/>
      <c r="G59" s="2086"/>
      <c r="H59" s="2086"/>
      <c r="I59" s="2086"/>
      <c r="J59" s="2086"/>
      <c r="K59" s="2086"/>
      <c r="L59" s="2086"/>
    </row>
    <row r="60" spans="1:24" ht="11.25" customHeight="1" x14ac:dyDescent="0.25">
      <c r="A60" s="1002" t="s">
        <v>8</v>
      </c>
      <c r="B60" s="1012"/>
      <c r="C60" s="2105">
        <v>69670135.961141273</v>
      </c>
      <c r="D60" s="2105">
        <v>62851420.262112938</v>
      </c>
      <c r="E60" s="2105">
        <v>60870161.047871962</v>
      </c>
      <c r="F60" s="2105">
        <v>62692973.8486</v>
      </c>
      <c r="G60" s="2105">
        <v>67372591</v>
      </c>
      <c r="H60" s="2105">
        <v>67372591</v>
      </c>
      <c r="I60" s="2105">
        <v>67372591</v>
      </c>
      <c r="J60" s="2105">
        <v>82706920.062484264</v>
      </c>
      <c r="K60" s="2105">
        <v>88214435.266233325</v>
      </c>
      <c r="L60" s="2105">
        <v>93775241.376207322</v>
      </c>
      <c r="M60" s="291"/>
    </row>
    <row r="61" spans="1:24" ht="11.25" customHeight="1" x14ac:dyDescent="0.25">
      <c r="A61" s="241"/>
      <c r="B61" s="241"/>
      <c r="C61" s="234"/>
      <c r="D61" s="234"/>
      <c r="E61" s="328"/>
      <c r="F61" s="328"/>
      <c r="G61" s="234"/>
      <c r="M61" s="291"/>
    </row>
    <row r="62" spans="1:24" ht="11.25" customHeight="1" x14ac:dyDescent="0.25">
      <c r="A62" s="241"/>
      <c r="B62" s="241"/>
      <c r="C62" s="234"/>
      <c r="D62" s="234"/>
      <c r="E62" s="328"/>
      <c r="F62" s="328"/>
      <c r="G62" s="234"/>
    </row>
    <row r="63" spans="1:24" ht="11.25" customHeight="1" x14ac:dyDescent="0.25">
      <c r="A63" s="241"/>
      <c r="B63" s="241"/>
      <c r="C63" s="234">
        <v>0</v>
      </c>
      <c r="D63" s="234">
        <v>-1.2107193470001221E-8</v>
      </c>
      <c r="E63" s="234">
        <v>0</v>
      </c>
      <c r="F63" s="234">
        <v>-286998.70078799129</v>
      </c>
      <c r="G63" s="234">
        <v>0</v>
      </c>
      <c r="J63" s="234">
        <v>-8.3819031715393066E-9</v>
      </c>
      <c r="K63" s="234">
        <v>-3.7252902984619141E-9</v>
      </c>
      <c r="L63" s="234">
        <v>-1.0710209608078003E-8</v>
      </c>
    </row>
    <row r="64" spans="1:24" ht="11.25" customHeight="1" x14ac:dyDescent="0.25">
      <c r="A64" s="241"/>
      <c r="B64" s="241"/>
      <c r="C64" s="328"/>
      <c r="D64" s="331"/>
      <c r="E64" s="328"/>
      <c r="F64" s="328"/>
      <c r="G64" s="328"/>
    </row>
    <row r="65" spans="2:2" ht="11.25" customHeight="1" x14ac:dyDescent="0.25">
      <c r="B65" s="148"/>
    </row>
    <row r="66" spans="2:2" ht="11.25" customHeight="1" x14ac:dyDescent="0.25">
      <c r="B66" s="148"/>
    </row>
    <row r="67" spans="2:2" ht="11.25" customHeight="1" x14ac:dyDescent="0.25">
      <c r="B67" s="148"/>
    </row>
    <row r="68" spans="2:2" ht="11.25" customHeight="1" x14ac:dyDescent="0.25">
      <c r="B68" s="148"/>
    </row>
    <row r="69" spans="2:2" ht="11.25" customHeight="1" x14ac:dyDescent="0.25">
      <c r="B69" s="148"/>
    </row>
    <row r="70" spans="2:2" ht="11.25" customHeight="1" x14ac:dyDescent="0.25">
      <c r="B70" s="148"/>
    </row>
    <row r="71" spans="2:2" ht="11.25" customHeight="1" x14ac:dyDescent="0.25">
      <c r="B71" s="148"/>
    </row>
    <row r="72" spans="2:2" ht="11.25" customHeight="1" x14ac:dyDescent="0.25">
      <c r="B72" s="148"/>
    </row>
    <row r="73" spans="2:2" ht="11.25" customHeight="1" x14ac:dyDescent="0.25">
      <c r="B73" s="148"/>
    </row>
    <row r="74" spans="2:2" ht="11.25" customHeight="1" x14ac:dyDescent="0.25">
      <c r="B74" s="148"/>
    </row>
    <row r="75" spans="2:2" ht="11.25" customHeight="1" x14ac:dyDescent="0.25">
      <c r="B75" s="148"/>
    </row>
    <row r="76" spans="2:2" ht="11.25" customHeight="1" x14ac:dyDescent="0.25">
      <c r="B76" s="148"/>
    </row>
    <row r="77" spans="2:2" ht="11.25" customHeight="1" x14ac:dyDescent="0.25">
      <c r="B77" s="148"/>
    </row>
    <row r="78" spans="2:2" ht="11.25" customHeight="1" x14ac:dyDescent="0.25">
      <c r="B78" s="148"/>
    </row>
    <row r="79" spans="2:2" ht="11.25" customHeight="1" x14ac:dyDescent="0.25">
      <c r="B79" s="148"/>
    </row>
    <row r="80" spans="2:2" ht="11.25" customHeight="1" x14ac:dyDescent="0.25">
      <c r="B80" s="148"/>
    </row>
    <row r="81" spans="2:2" ht="11.25" customHeight="1" x14ac:dyDescent="0.25">
      <c r="B81" s="148"/>
    </row>
    <row r="82" spans="2:2" ht="11.25" customHeight="1" x14ac:dyDescent="0.25">
      <c r="B82" s="148"/>
    </row>
    <row r="83" spans="2:2" ht="11.25" customHeight="1" x14ac:dyDescent="0.25">
      <c r="B83" s="148"/>
    </row>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sheetData>
  <mergeCells count="3">
    <mergeCell ref="M2:X2"/>
    <mergeCell ref="J2:L2"/>
    <mergeCell ref="F2:I2"/>
  </mergeCells>
  <phoneticPr fontId="4" type="noConversion"/>
  <pageMargins left="0.75" right="0.75" top="1" bottom="1" header="0.5" footer="0.5"/>
  <pageSetup scale="7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enableFormatConditionsCalculation="0">
    <tabColor indexed="44"/>
    <pageSetUpPr fitToPage="1"/>
  </sheetPr>
  <dimension ref="A1:R120"/>
  <sheetViews>
    <sheetView showGridLines="0" tabSelected="1" workbookViewId="0">
      <pane xSplit="2" ySplit="3" topLeftCell="C49"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11.7109375" style="338" bestFit="1"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3" s="178" customFormat="1" x14ac:dyDescent="0.2">
      <c r="A1" s="146" t="s">
        <v>2498</v>
      </c>
      <c r="B1" s="146"/>
      <c r="C1" s="1997"/>
      <c r="D1" s="1997"/>
      <c r="E1" s="1997"/>
      <c r="F1" s="1997"/>
      <c r="G1" s="1997"/>
      <c r="H1" s="1997"/>
      <c r="I1" s="1997"/>
      <c r="J1" s="1997"/>
      <c r="K1" s="1997"/>
      <c r="L1" s="1997"/>
      <c r="M1" s="2049"/>
    </row>
    <row r="2" spans="1:13" ht="28.5" customHeight="1" x14ac:dyDescent="0.25">
      <c r="A2" s="784" t="s">
        <v>809</v>
      </c>
      <c r="B2" s="379" t="s">
        <v>429</v>
      </c>
      <c r="C2" s="149" t="s">
        <v>2478</v>
      </c>
      <c r="D2" s="149" t="s">
        <v>2479</v>
      </c>
      <c r="E2" s="1996" t="s">
        <v>2480</v>
      </c>
      <c r="F2" s="2700" t="s">
        <v>2481</v>
      </c>
      <c r="G2" s="2701"/>
      <c r="H2" s="2701"/>
      <c r="I2" s="2701"/>
      <c r="J2" s="2697" t="s">
        <v>2482</v>
      </c>
      <c r="K2" s="2698"/>
      <c r="L2" s="2699"/>
    </row>
    <row r="3" spans="1:13" ht="25.5" x14ac:dyDescent="0.25">
      <c r="A3" s="179" t="s">
        <v>667</v>
      </c>
      <c r="B3" s="277">
        <v>1</v>
      </c>
      <c r="C3" s="2009" t="s">
        <v>1065</v>
      </c>
      <c r="D3" s="2009" t="s">
        <v>1065</v>
      </c>
      <c r="E3" s="354" t="s">
        <v>1065</v>
      </c>
      <c r="F3" s="2004" t="s">
        <v>467</v>
      </c>
      <c r="G3" s="2009" t="s">
        <v>1807</v>
      </c>
      <c r="H3" s="354" t="s">
        <v>1808</v>
      </c>
      <c r="I3" s="2018" t="s">
        <v>672</v>
      </c>
      <c r="J3" s="2004" t="s">
        <v>2483</v>
      </c>
      <c r="K3" s="2009" t="s">
        <v>2484</v>
      </c>
      <c r="L3" s="354" t="s">
        <v>2485</v>
      </c>
    </row>
    <row r="4" spans="1:13" x14ac:dyDescent="0.25">
      <c r="A4" s="180" t="s">
        <v>518</v>
      </c>
      <c r="B4" s="278"/>
      <c r="C4" s="749"/>
      <c r="D4" s="749"/>
      <c r="E4" s="750"/>
      <c r="F4" s="773"/>
      <c r="G4" s="749"/>
      <c r="H4" s="774"/>
      <c r="I4" s="750"/>
      <c r="J4" s="773"/>
      <c r="K4" s="749"/>
      <c r="L4" s="774"/>
    </row>
    <row r="5" spans="1:13" ht="11.25" customHeight="1" x14ac:dyDescent="0.25">
      <c r="A5" s="180" t="s">
        <v>1039</v>
      </c>
      <c r="B5" s="279">
        <v>2</v>
      </c>
      <c r="C5" s="776"/>
      <c r="D5" s="776"/>
      <c r="E5" s="2106"/>
      <c r="F5" s="778"/>
      <c r="G5" s="776"/>
      <c r="H5" s="779"/>
      <c r="I5" s="2106"/>
      <c r="J5" s="778"/>
      <c r="K5" s="776"/>
      <c r="L5" s="779"/>
    </row>
    <row r="6" spans="1:13" ht="11.25" customHeight="1" x14ac:dyDescent="0.25">
      <c r="A6" s="189" t="s">
        <v>2374</v>
      </c>
      <c r="B6" s="279"/>
      <c r="C6" s="751">
        <v>0</v>
      </c>
      <c r="D6" s="751">
        <v>0</v>
      </c>
      <c r="E6" s="754">
        <v>0</v>
      </c>
      <c r="F6" s="753">
        <v>0</v>
      </c>
      <c r="G6" s="751">
        <v>0</v>
      </c>
      <c r="H6" s="754">
        <v>0</v>
      </c>
      <c r="I6" s="752">
        <v>0</v>
      </c>
      <c r="J6" s="753">
        <v>0</v>
      </c>
      <c r="K6" s="751">
        <v>0</v>
      </c>
      <c r="L6" s="754">
        <v>0</v>
      </c>
      <c r="M6" s="300"/>
    </row>
    <row r="7" spans="1:13" ht="11.25" customHeight="1" x14ac:dyDescent="0.25">
      <c r="A7" s="189" t="s">
        <v>2375</v>
      </c>
      <c r="B7" s="279"/>
      <c r="C7" s="751">
        <v>0</v>
      </c>
      <c r="D7" s="751">
        <v>0</v>
      </c>
      <c r="E7" s="754">
        <v>0</v>
      </c>
      <c r="F7" s="753">
        <v>0</v>
      </c>
      <c r="G7" s="751">
        <v>0</v>
      </c>
      <c r="H7" s="754">
        <v>0</v>
      </c>
      <c r="I7" s="752">
        <v>0</v>
      </c>
      <c r="J7" s="753">
        <v>0</v>
      </c>
      <c r="K7" s="751">
        <v>0</v>
      </c>
      <c r="L7" s="754">
        <v>0</v>
      </c>
      <c r="M7" s="2107"/>
    </row>
    <row r="8" spans="1:13" ht="11.25" customHeight="1" x14ac:dyDescent="0.25">
      <c r="A8" s="189" t="s">
        <v>2376</v>
      </c>
      <c r="B8" s="279"/>
      <c r="C8" s="751">
        <v>0</v>
      </c>
      <c r="D8" s="751">
        <v>0</v>
      </c>
      <c r="E8" s="754">
        <v>0</v>
      </c>
      <c r="F8" s="753">
        <v>0</v>
      </c>
      <c r="G8" s="751">
        <v>0</v>
      </c>
      <c r="H8" s="754">
        <v>0</v>
      </c>
      <c r="I8" s="752">
        <v>0</v>
      </c>
      <c r="J8" s="753">
        <v>0</v>
      </c>
      <c r="K8" s="751">
        <v>0</v>
      </c>
      <c r="L8" s="754">
        <v>0</v>
      </c>
      <c r="M8" s="1264"/>
    </row>
    <row r="9" spans="1:13" ht="11.25" customHeight="1" x14ac:dyDescent="0.25">
      <c r="A9" s="189" t="s">
        <v>2377</v>
      </c>
      <c r="B9" s="279"/>
      <c r="C9" s="751">
        <v>0</v>
      </c>
      <c r="D9" s="751">
        <v>0</v>
      </c>
      <c r="E9" s="754">
        <v>0</v>
      </c>
      <c r="F9" s="2108">
        <v>0</v>
      </c>
      <c r="G9" s="751">
        <v>0</v>
      </c>
      <c r="H9" s="754">
        <v>0</v>
      </c>
      <c r="I9" s="752">
        <v>0</v>
      </c>
      <c r="J9" s="753">
        <v>0</v>
      </c>
      <c r="K9" s="751">
        <v>0</v>
      </c>
      <c r="L9" s="2109">
        <v>0</v>
      </c>
      <c r="M9" s="1264"/>
    </row>
    <row r="10" spans="1:13" ht="11.25" customHeight="1" x14ac:dyDescent="0.25">
      <c r="A10" s="189" t="s">
        <v>2378</v>
      </c>
      <c r="B10" s="279"/>
      <c r="C10" s="751">
        <v>0</v>
      </c>
      <c r="D10" s="751">
        <v>0</v>
      </c>
      <c r="E10" s="754">
        <v>0</v>
      </c>
      <c r="F10" s="753">
        <v>0</v>
      </c>
      <c r="G10" s="751">
        <v>0</v>
      </c>
      <c r="H10" s="754">
        <v>0</v>
      </c>
      <c r="I10" s="752">
        <v>0</v>
      </c>
      <c r="J10" s="753">
        <v>0</v>
      </c>
      <c r="K10" s="751">
        <v>0</v>
      </c>
      <c r="L10" s="754">
        <v>0</v>
      </c>
      <c r="M10" s="1264"/>
    </row>
    <row r="11" spans="1:13" ht="11.25" customHeight="1" x14ac:dyDescent="0.25">
      <c r="A11" s="189" t="s">
        <v>2379</v>
      </c>
      <c r="B11" s="279"/>
      <c r="C11" s="751">
        <v>0</v>
      </c>
      <c r="D11" s="751">
        <v>0</v>
      </c>
      <c r="E11" s="754">
        <v>0</v>
      </c>
      <c r="F11" s="753">
        <v>0</v>
      </c>
      <c r="G11" s="751">
        <v>0</v>
      </c>
      <c r="H11" s="754">
        <v>0</v>
      </c>
      <c r="I11" s="752">
        <v>0</v>
      </c>
      <c r="J11" s="753">
        <v>0</v>
      </c>
      <c r="K11" s="751">
        <v>0</v>
      </c>
      <c r="L11" s="754">
        <v>0</v>
      </c>
      <c r="M11" s="1264"/>
    </row>
    <row r="12" spans="1:13" ht="11.25" customHeight="1" x14ac:dyDescent="0.25">
      <c r="A12" s="189" t="s">
        <v>2380</v>
      </c>
      <c r="B12" s="279"/>
      <c r="C12" s="751">
        <v>0</v>
      </c>
      <c r="D12" s="751">
        <v>0</v>
      </c>
      <c r="E12" s="754">
        <v>0</v>
      </c>
      <c r="F12" s="753">
        <v>0</v>
      </c>
      <c r="G12" s="751">
        <v>0</v>
      </c>
      <c r="H12" s="754">
        <v>0</v>
      </c>
      <c r="I12" s="752">
        <v>0</v>
      </c>
      <c r="J12" s="753">
        <v>0</v>
      </c>
      <c r="K12" s="751">
        <v>0</v>
      </c>
      <c r="L12" s="754">
        <v>0</v>
      </c>
      <c r="M12" s="1264"/>
    </row>
    <row r="13" spans="1:13" ht="11.25" customHeight="1" x14ac:dyDescent="0.25">
      <c r="A13" s="189" t="s">
        <v>2381</v>
      </c>
      <c r="B13" s="279"/>
      <c r="C13" s="751">
        <v>0</v>
      </c>
      <c r="D13" s="751">
        <v>0</v>
      </c>
      <c r="E13" s="752">
        <v>0</v>
      </c>
      <c r="F13" s="753">
        <v>0</v>
      </c>
      <c r="G13" s="751">
        <v>0</v>
      </c>
      <c r="H13" s="754">
        <v>0</v>
      </c>
      <c r="I13" s="752">
        <v>0</v>
      </c>
      <c r="J13" s="753">
        <v>0</v>
      </c>
      <c r="K13" s="751">
        <v>0</v>
      </c>
      <c r="L13" s="754">
        <v>0</v>
      </c>
      <c r="M13" s="1264"/>
    </row>
    <row r="14" spans="1:13" ht="11.25" customHeight="1" x14ac:dyDescent="0.25">
      <c r="A14" s="189" t="s">
        <v>2382</v>
      </c>
      <c r="B14" s="279"/>
      <c r="C14" s="751">
        <v>0</v>
      </c>
      <c r="D14" s="751">
        <v>0</v>
      </c>
      <c r="E14" s="752">
        <v>0</v>
      </c>
      <c r="F14" s="753">
        <v>0</v>
      </c>
      <c r="G14" s="751">
        <v>0</v>
      </c>
      <c r="H14" s="754">
        <v>0</v>
      </c>
      <c r="I14" s="752">
        <v>0</v>
      </c>
      <c r="J14" s="753">
        <v>0</v>
      </c>
      <c r="K14" s="751">
        <v>0</v>
      </c>
      <c r="L14" s="754">
        <v>0</v>
      </c>
      <c r="M14" s="1264"/>
    </row>
    <row r="15" spans="1:13" ht="11.25" customHeight="1" x14ac:dyDescent="0.25">
      <c r="A15" s="189" t="s">
        <v>2383</v>
      </c>
      <c r="B15" s="279"/>
      <c r="C15" s="751">
        <v>0</v>
      </c>
      <c r="D15" s="751">
        <v>0</v>
      </c>
      <c r="E15" s="752">
        <v>0</v>
      </c>
      <c r="F15" s="753">
        <v>0</v>
      </c>
      <c r="G15" s="751">
        <v>0</v>
      </c>
      <c r="H15" s="754">
        <v>0</v>
      </c>
      <c r="I15" s="752">
        <v>0</v>
      </c>
      <c r="J15" s="753">
        <v>0</v>
      </c>
      <c r="K15" s="751">
        <v>0</v>
      </c>
      <c r="L15" s="754">
        <v>0</v>
      </c>
      <c r="M15" s="1264"/>
    </row>
    <row r="16" spans="1:13" ht="11.25" customHeight="1" x14ac:dyDescent="0.25">
      <c r="A16" s="189" t="s">
        <v>2492</v>
      </c>
      <c r="B16" s="279"/>
      <c r="C16" s="751">
        <v>0</v>
      </c>
      <c r="D16" s="751">
        <v>0</v>
      </c>
      <c r="E16" s="752">
        <v>0</v>
      </c>
      <c r="F16" s="753">
        <v>0</v>
      </c>
      <c r="G16" s="751">
        <v>0</v>
      </c>
      <c r="H16" s="754">
        <v>0</v>
      </c>
      <c r="I16" s="752">
        <v>0</v>
      </c>
      <c r="J16" s="753">
        <v>0</v>
      </c>
      <c r="K16" s="751">
        <v>0</v>
      </c>
      <c r="L16" s="754">
        <v>0</v>
      </c>
    </row>
    <row r="17" spans="1:13" ht="11.25" customHeight="1" x14ac:dyDescent="0.25">
      <c r="A17" s="189" t="s">
        <v>2493</v>
      </c>
      <c r="B17" s="279"/>
      <c r="C17" s="751">
        <v>0</v>
      </c>
      <c r="D17" s="751">
        <v>0</v>
      </c>
      <c r="E17" s="752">
        <v>0</v>
      </c>
      <c r="F17" s="753">
        <v>0</v>
      </c>
      <c r="G17" s="751">
        <v>0</v>
      </c>
      <c r="H17" s="754">
        <v>0</v>
      </c>
      <c r="I17" s="752">
        <v>0</v>
      </c>
      <c r="J17" s="753">
        <v>0</v>
      </c>
      <c r="K17" s="751">
        <v>0</v>
      </c>
      <c r="L17" s="754">
        <v>0</v>
      </c>
      <c r="M17" s="1264"/>
    </row>
    <row r="18" spans="1:13" ht="11.25" customHeight="1" x14ac:dyDescent="0.25">
      <c r="A18" s="189" t="s">
        <v>2494</v>
      </c>
      <c r="B18" s="279"/>
      <c r="C18" s="751">
        <v>0</v>
      </c>
      <c r="D18" s="751">
        <v>0</v>
      </c>
      <c r="E18" s="752">
        <v>0</v>
      </c>
      <c r="F18" s="753">
        <v>0</v>
      </c>
      <c r="G18" s="751">
        <v>0</v>
      </c>
      <c r="H18" s="754">
        <v>0</v>
      </c>
      <c r="I18" s="752">
        <v>0</v>
      </c>
      <c r="J18" s="753">
        <v>0</v>
      </c>
      <c r="K18" s="751">
        <v>0</v>
      </c>
      <c r="L18" s="754">
        <v>0</v>
      </c>
      <c r="M18" s="1264"/>
    </row>
    <row r="19" spans="1:13" ht="11.25" customHeight="1" x14ac:dyDescent="0.25">
      <c r="A19" s="189" t="s">
        <v>2495</v>
      </c>
      <c r="B19" s="279"/>
      <c r="C19" s="751">
        <v>0</v>
      </c>
      <c r="D19" s="751">
        <v>0</v>
      </c>
      <c r="E19" s="752">
        <v>0</v>
      </c>
      <c r="F19" s="753">
        <v>0</v>
      </c>
      <c r="G19" s="751">
        <v>0</v>
      </c>
      <c r="H19" s="754">
        <v>0</v>
      </c>
      <c r="I19" s="752">
        <v>0</v>
      </c>
      <c r="J19" s="753">
        <v>0</v>
      </c>
      <c r="K19" s="751">
        <v>0</v>
      </c>
      <c r="L19" s="754">
        <v>0</v>
      </c>
      <c r="M19" s="1264"/>
    </row>
    <row r="20" spans="1:13" ht="11.25" customHeight="1" x14ac:dyDescent="0.25">
      <c r="A20" s="189" t="s">
        <v>2496</v>
      </c>
      <c r="B20" s="279"/>
      <c r="C20" s="751">
        <v>0</v>
      </c>
      <c r="D20" s="751">
        <v>0</v>
      </c>
      <c r="E20" s="752">
        <v>0</v>
      </c>
      <c r="F20" s="753">
        <v>0</v>
      </c>
      <c r="G20" s="751">
        <v>0</v>
      </c>
      <c r="H20" s="754">
        <v>0</v>
      </c>
      <c r="I20" s="752">
        <v>0</v>
      </c>
      <c r="J20" s="753">
        <v>0</v>
      </c>
      <c r="K20" s="751">
        <v>0</v>
      </c>
      <c r="L20" s="754">
        <v>0</v>
      </c>
      <c r="M20" s="1264"/>
    </row>
    <row r="21" spans="1:13" x14ac:dyDescent="0.25">
      <c r="A21" s="196" t="s">
        <v>197</v>
      </c>
      <c r="B21" s="279">
        <v>7</v>
      </c>
      <c r="C21" s="1085">
        <v>0</v>
      </c>
      <c r="D21" s="1085">
        <v>0</v>
      </c>
      <c r="E21" s="258">
        <v>0</v>
      </c>
      <c r="F21" s="261">
        <v>0</v>
      </c>
      <c r="G21" s="259">
        <v>0</v>
      </c>
      <c r="H21" s="260">
        <v>0</v>
      </c>
      <c r="I21" s="258">
        <v>0</v>
      </c>
      <c r="J21" s="261">
        <v>0</v>
      </c>
      <c r="K21" s="259">
        <v>0</v>
      </c>
      <c r="L21" s="260">
        <v>0</v>
      </c>
    </row>
    <row r="22" spans="1:13" ht="5.0999999999999996" customHeight="1" x14ac:dyDescent="0.25">
      <c r="A22" s="199"/>
      <c r="B22" s="279"/>
      <c r="C22" s="205"/>
      <c r="D22" s="251"/>
      <c r="E22" s="208"/>
      <c r="F22" s="246"/>
      <c r="G22" s="205"/>
      <c r="H22" s="256"/>
      <c r="I22" s="208"/>
      <c r="J22" s="246"/>
      <c r="K22" s="205"/>
      <c r="L22" s="256"/>
    </row>
    <row r="23" spans="1:13" ht="11.25" customHeight="1" x14ac:dyDescent="0.25">
      <c r="A23" s="180" t="s">
        <v>1040</v>
      </c>
      <c r="B23" s="279">
        <v>2</v>
      </c>
      <c r="C23" s="2110"/>
      <c r="D23" s="2110"/>
      <c r="E23" s="754"/>
      <c r="F23" s="753"/>
      <c r="G23" s="751"/>
      <c r="H23" s="754"/>
      <c r="I23" s="752"/>
      <c r="J23" s="753"/>
      <c r="K23" s="751"/>
      <c r="L23" s="754"/>
    </row>
    <row r="24" spans="1:13" ht="11.25" customHeight="1" x14ac:dyDescent="0.25">
      <c r="A24" s="189" t="s">
        <v>2374</v>
      </c>
      <c r="B24" s="279"/>
      <c r="C24" s="2110">
        <v>0</v>
      </c>
      <c r="D24" s="2110">
        <v>44330</v>
      </c>
      <c r="E24" s="754">
        <v>48769.27</v>
      </c>
      <c r="F24" s="753">
        <v>0</v>
      </c>
      <c r="G24" s="751">
        <v>70000</v>
      </c>
      <c r="H24" s="754">
        <v>70000</v>
      </c>
      <c r="I24" s="752">
        <v>70000</v>
      </c>
      <c r="J24" s="753">
        <v>150000</v>
      </c>
      <c r="K24" s="751">
        <v>159000</v>
      </c>
      <c r="L24" s="754">
        <v>168540</v>
      </c>
    </row>
    <row r="25" spans="1:13" ht="11.25" customHeight="1" x14ac:dyDescent="0.25">
      <c r="A25" s="189" t="s">
        <v>2375</v>
      </c>
      <c r="B25" s="279"/>
      <c r="C25" s="2110">
        <v>0</v>
      </c>
      <c r="D25" s="2110">
        <v>1012857.54</v>
      </c>
      <c r="E25" s="754">
        <v>385280.75</v>
      </c>
      <c r="F25" s="753">
        <v>300000</v>
      </c>
      <c r="G25" s="751">
        <v>482000</v>
      </c>
      <c r="H25" s="754">
        <v>482000</v>
      </c>
      <c r="I25" s="752">
        <v>482000</v>
      </c>
      <c r="J25" s="753">
        <v>2405000</v>
      </c>
      <c r="K25" s="751">
        <v>895700</v>
      </c>
      <c r="L25" s="754">
        <v>949442</v>
      </c>
    </row>
    <row r="26" spans="1:13" ht="11.25" customHeight="1" x14ac:dyDescent="0.25">
      <c r="A26" s="189" t="s">
        <v>2376</v>
      </c>
      <c r="B26" s="279"/>
      <c r="C26" s="2110">
        <v>3805483</v>
      </c>
      <c r="D26" s="2110">
        <v>2473786.6999999997</v>
      </c>
      <c r="E26" s="754">
        <v>1314549.96</v>
      </c>
      <c r="F26" s="753">
        <v>0</v>
      </c>
      <c r="G26" s="751">
        <v>0</v>
      </c>
      <c r="H26" s="754">
        <v>0</v>
      </c>
      <c r="I26" s="752">
        <v>0</v>
      </c>
      <c r="J26" s="753">
        <v>0</v>
      </c>
      <c r="K26" s="751">
        <v>0</v>
      </c>
      <c r="L26" s="754">
        <v>0</v>
      </c>
    </row>
    <row r="27" spans="1:13" ht="11.25" customHeight="1" x14ac:dyDescent="0.25">
      <c r="A27" s="189" t="s">
        <v>2377</v>
      </c>
      <c r="B27" s="279"/>
      <c r="C27" s="2110">
        <v>0</v>
      </c>
      <c r="D27" s="2110">
        <v>1068514.6600000001</v>
      </c>
      <c r="E27" s="754">
        <v>674045.48</v>
      </c>
      <c r="F27" s="753">
        <v>888000</v>
      </c>
      <c r="G27" s="751">
        <v>928000</v>
      </c>
      <c r="H27" s="754">
        <v>928000</v>
      </c>
      <c r="I27" s="752">
        <v>928000</v>
      </c>
      <c r="J27" s="753">
        <v>460000</v>
      </c>
      <c r="K27" s="751">
        <v>487600</v>
      </c>
      <c r="L27" s="754">
        <v>516856</v>
      </c>
    </row>
    <row r="28" spans="1:13" ht="11.25" customHeight="1" x14ac:dyDescent="0.25">
      <c r="A28" s="189" t="s">
        <v>2378</v>
      </c>
      <c r="B28" s="279"/>
      <c r="C28" s="2110">
        <v>0</v>
      </c>
      <c r="D28" s="2110">
        <v>0</v>
      </c>
      <c r="E28" s="754">
        <v>0</v>
      </c>
      <c r="F28" s="753">
        <v>0</v>
      </c>
      <c r="G28" s="751">
        <v>0</v>
      </c>
      <c r="H28" s="754">
        <v>0</v>
      </c>
      <c r="I28" s="752">
        <v>0</v>
      </c>
      <c r="J28" s="753">
        <v>0</v>
      </c>
      <c r="K28" s="751">
        <v>0</v>
      </c>
      <c r="L28" s="754">
        <v>0</v>
      </c>
    </row>
    <row r="29" spans="1:13" ht="11.25" customHeight="1" x14ac:dyDescent="0.25">
      <c r="A29" s="189" t="s">
        <v>2379</v>
      </c>
      <c r="B29" s="279"/>
      <c r="C29" s="2110">
        <v>10103273</v>
      </c>
      <c r="D29" s="2110">
        <v>1777902.5199999996</v>
      </c>
      <c r="E29" s="754">
        <v>1967955.18</v>
      </c>
      <c r="F29" s="753">
        <v>5150000</v>
      </c>
      <c r="G29" s="751">
        <v>5150000</v>
      </c>
      <c r="H29" s="754">
        <v>5150000</v>
      </c>
      <c r="I29" s="752">
        <v>5150000</v>
      </c>
      <c r="J29" s="753">
        <v>4613700</v>
      </c>
      <c r="K29" s="751">
        <v>7500000</v>
      </c>
      <c r="L29" s="754">
        <v>12843000</v>
      </c>
    </row>
    <row r="30" spans="1:13" ht="11.25" customHeight="1" x14ac:dyDescent="0.25">
      <c r="A30" s="189" t="s">
        <v>2380</v>
      </c>
      <c r="B30" s="279"/>
      <c r="C30" s="2110">
        <v>0</v>
      </c>
      <c r="D30" s="2110">
        <v>0</v>
      </c>
      <c r="E30" s="754">
        <v>0</v>
      </c>
      <c r="F30" s="753">
        <v>0</v>
      </c>
      <c r="G30" s="751">
        <v>0</v>
      </c>
      <c r="H30" s="754">
        <v>0</v>
      </c>
      <c r="I30" s="752">
        <v>0</v>
      </c>
      <c r="J30" s="753">
        <v>0</v>
      </c>
      <c r="K30" s="751">
        <v>0</v>
      </c>
      <c r="L30" s="754">
        <v>0</v>
      </c>
    </row>
    <row r="31" spans="1:13" ht="11.25" customHeight="1" x14ac:dyDescent="0.25">
      <c r="A31" s="189" t="s">
        <v>2381</v>
      </c>
      <c r="B31" s="279"/>
      <c r="C31" s="2110">
        <v>0</v>
      </c>
      <c r="D31" s="2110">
        <v>0</v>
      </c>
      <c r="E31" s="754">
        <v>0</v>
      </c>
      <c r="F31" s="753">
        <v>0</v>
      </c>
      <c r="G31" s="751">
        <v>0</v>
      </c>
      <c r="H31" s="754">
        <v>0</v>
      </c>
      <c r="I31" s="752">
        <v>0</v>
      </c>
      <c r="J31" s="753">
        <v>0</v>
      </c>
      <c r="K31" s="751">
        <v>0</v>
      </c>
      <c r="L31" s="754">
        <v>0</v>
      </c>
    </row>
    <row r="32" spans="1:13" ht="11.25" customHeight="1" x14ac:dyDescent="0.25">
      <c r="A32" s="189" t="s">
        <v>2382</v>
      </c>
      <c r="B32" s="279"/>
      <c r="C32" s="2110">
        <v>1610058</v>
      </c>
      <c r="D32" s="2110">
        <v>760409.79</v>
      </c>
      <c r="E32" s="754">
        <v>609688.19999999995</v>
      </c>
      <c r="F32" s="753">
        <v>2950000</v>
      </c>
      <c r="G32" s="751">
        <v>2950000</v>
      </c>
      <c r="H32" s="754">
        <v>2950000</v>
      </c>
      <c r="I32" s="752">
        <v>2950000</v>
      </c>
      <c r="J32" s="753">
        <v>5336300</v>
      </c>
      <c r="K32" s="751">
        <v>3700000</v>
      </c>
      <c r="L32" s="754">
        <v>0</v>
      </c>
    </row>
    <row r="33" spans="1:18" ht="11.25" customHeight="1" x14ac:dyDescent="0.25">
      <c r="A33" s="189" t="s">
        <v>2383</v>
      </c>
      <c r="B33" s="279"/>
      <c r="C33" s="2110">
        <v>1293047</v>
      </c>
      <c r="D33" s="2110">
        <v>8566425.4400000013</v>
      </c>
      <c r="E33" s="754">
        <v>1146483.99</v>
      </c>
      <c r="F33" s="753">
        <v>200000</v>
      </c>
      <c r="G33" s="751">
        <v>200000</v>
      </c>
      <c r="H33" s="754">
        <v>200000</v>
      </c>
      <c r="I33" s="752">
        <v>200000</v>
      </c>
      <c r="J33" s="753">
        <v>0</v>
      </c>
      <c r="K33" s="751">
        <v>1750000</v>
      </c>
      <c r="L33" s="754">
        <v>0</v>
      </c>
    </row>
    <row r="34" spans="1:18" ht="11.25" customHeight="1" x14ac:dyDescent="0.25">
      <c r="A34" s="189" t="s">
        <v>2492</v>
      </c>
      <c r="B34" s="279"/>
      <c r="C34" s="2110">
        <v>0</v>
      </c>
      <c r="D34" s="2110">
        <v>0</v>
      </c>
      <c r="E34" s="754">
        <v>0</v>
      </c>
      <c r="F34" s="753">
        <v>0</v>
      </c>
      <c r="G34" s="751">
        <v>0</v>
      </c>
      <c r="H34" s="754">
        <v>0</v>
      </c>
      <c r="I34" s="752">
        <v>0</v>
      </c>
      <c r="J34" s="753">
        <v>0</v>
      </c>
      <c r="K34" s="751">
        <v>0</v>
      </c>
      <c r="L34" s="754">
        <v>0</v>
      </c>
    </row>
    <row r="35" spans="1:18" ht="11.25" customHeight="1" x14ac:dyDescent="0.25">
      <c r="A35" s="189" t="s">
        <v>2493</v>
      </c>
      <c r="B35" s="279"/>
      <c r="C35" s="2110">
        <v>0</v>
      </c>
      <c r="D35" s="2110">
        <v>0</v>
      </c>
      <c r="E35" s="754">
        <v>0</v>
      </c>
      <c r="F35" s="753">
        <v>0</v>
      </c>
      <c r="G35" s="751">
        <v>0</v>
      </c>
      <c r="H35" s="754">
        <v>0</v>
      </c>
      <c r="I35" s="752">
        <v>0</v>
      </c>
      <c r="J35" s="753">
        <v>0</v>
      </c>
      <c r="K35" s="751">
        <v>0</v>
      </c>
      <c r="L35" s="754">
        <v>0</v>
      </c>
    </row>
    <row r="36" spans="1:18" ht="11.25" customHeight="1" x14ac:dyDescent="0.25">
      <c r="A36" s="189" t="s">
        <v>2494</v>
      </c>
      <c r="B36" s="279"/>
      <c r="C36" s="1232">
        <v>0</v>
      </c>
      <c r="D36" s="1232">
        <v>0</v>
      </c>
      <c r="E36" s="1233">
        <v>0</v>
      </c>
      <c r="F36" s="1234">
        <v>0</v>
      </c>
      <c r="G36" s="1192">
        <v>0</v>
      </c>
      <c r="H36" s="1233">
        <v>0</v>
      </c>
      <c r="I36" s="1193">
        <v>0</v>
      </c>
      <c r="J36" s="1234">
        <v>0</v>
      </c>
      <c r="K36" s="1192">
        <v>0</v>
      </c>
      <c r="L36" s="1233">
        <v>0</v>
      </c>
    </row>
    <row r="37" spans="1:18" ht="11.25" customHeight="1" x14ac:dyDescent="0.25">
      <c r="A37" s="189" t="s">
        <v>2495</v>
      </c>
      <c r="B37" s="279"/>
      <c r="C37" s="1232">
        <v>0</v>
      </c>
      <c r="D37" s="1232">
        <v>0</v>
      </c>
      <c r="E37" s="1233">
        <v>0</v>
      </c>
      <c r="F37" s="1234">
        <v>0</v>
      </c>
      <c r="G37" s="1192">
        <v>0</v>
      </c>
      <c r="H37" s="1233">
        <v>0</v>
      </c>
      <c r="I37" s="1193">
        <v>0</v>
      </c>
      <c r="J37" s="1234">
        <v>0</v>
      </c>
      <c r="K37" s="1192">
        <v>0</v>
      </c>
      <c r="L37" s="1233">
        <v>0</v>
      </c>
    </row>
    <row r="38" spans="1:18" ht="11.25" customHeight="1" x14ac:dyDescent="0.25">
      <c r="A38" s="189" t="s">
        <v>2496</v>
      </c>
      <c r="B38" s="279"/>
      <c r="C38" s="1232">
        <v>0</v>
      </c>
      <c r="D38" s="1232">
        <v>0</v>
      </c>
      <c r="E38" s="1233">
        <v>0</v>
      </c>
      <c r="F38" s="1234">
        <v>0</v>
      </c>
      <c r="G38" s="1192">
        <v>0</v>
      </c>
      <c r="H38" s="1233">
        <v>0</v>
      </c>
      <c r="I38" s="1193">
        <v>0</v>
      </c>
      <c r="J38" s="1234">
        <v>0</v>
      </c>
      <c r="K38" s="1192">
        <v>0</v>
      </c>
      <c r="L38" s="1233">
        <v>0</v>
      </c>
    </row>
    <row r="39" spans="1:18" ht="11.25" customHeight="1" x14ac:dyDescent="0.25">
      <c r="A39" s="303" t="s">
        <v>1334</v>
      </c>
      <c r="B39" s="279"/>
      <c r="C39" s="1082">
        <v>16811861</v>
      </c>
      <c r="D39" s="1082">
        <v>15704226.650000002</v>
      </c>
      <c r="E39" s="1083">
        <v>6146772.8300000001</v>
      </c>
      <c r="F39" s="1084">
        <v>9488000</v>
      </c>
      <c r="G39" s="1085">
        <v>9780000</v>
      </c>
      <c r="H39" s="1083">
        <v>9780000</v>
      </c>
      <c r="I39" s="1086">
        <v>9780000</v>
      </c>
      <c r="J39" s="1084">
        <v>12965000</v>
      </c>
      <c r="K39" s="1085">
        <v>14492300</v>
      </c>
      <c r="L39" s="1083">
        <v>14477838</v>
      </c>
    </row>
    <row r="40" spans="1:18" x14ac:dyDescent="0.25">
      <c r="A40" s="221" t="s">
        <v>1041</v>
      </c>
      <c r="B40" s="287"/>
      <c r="C40" s="2111">
        <v>16811861</v>
      </c>
      <c r="D40" s="2111">
        <v>15704226.650000002</v>
      </c>
      <c r="E40" s="2112">
        <v>6146772.8300000001</v>
      </c>
      <c r="F40" s="2113">
        <v>9488000</v>
      </c>
      <c r="G40" s="2114">
        <v>9780000</v>
      </c>
      <c r="H40" s="2112">
        <v>9780000</v>
      </c>
      <c r="I40" s="2115">
        <v>9780000</v>
      </c>
      <c r="J40" s="2113">
        <v>12965000</v>
      </c>
      <c r="K40" s="2114">
        <v>14492300</v>
      </c>
      <c r="L40" s="2112">
        <v>14477838</v>
      </c>
    </row>
    <row r="41" spans="1:18" ht="5.0999999999999996" customHeight="1" x14ac:dyDescent="0.25">
      <c r="A41" s="199"/>
      <c r="B41" s="279"/>
      <c r="C41" s="2110"/>
      <c r="D41" s="2110"/>
      <c r="E41" s="754"/>
      <c r="F41" s="753"/>
      <c r="G41" s="751"/>
      <c r="H41" s="754"/>
      <c r="I41" s="752"/>
      <c r="J41" s="753"/>
      <c r="K41" s="751"/>
      <c r="L41" s="754"/>
    </row>
    <row r="42" spans="1:18" ht="11.25" customHeight="1" x14ac:dyDescent="0.25">
      <c r="A42" s="180" t="s">
        <v>1245</v>
      </c>
      <c r="B42" s="279"/>
      <c r="C42" s="2110"/>
      <c r="D42" s="2110"/>
      <c r="E42" s="754"/>
      <c r="F42" s="753"/>
      <c r="G42" s="751"/>
      <c r="H42" s="754"/>
      <c r="I42" s="752"/>
      <c r="J42" s="2116"/>
      <c r="K42" s="751"/>
      <c r="L42" s="2117"/>
    </row>
    <row r="43" spans="1:18" ht="11.25" customHeight="1" x14ac:dyDescent="0.25">
      <c r="A43" s="1015" t="s">
        <v>1134</v>
      </c>
      <c r="B43" s="955"/>
      <c r="C43" s="903">
        <v>0</v>
      </c>
      <c r="D43" s="903">
        <v>1112844.6600000001</v>
      </c>
      <c r="E43" s="1133">
        <v>722814.75</v>
      </c>
      <c r="F43" s="907">
        <v>888000</v>
      </c>
      <c r="G43" s="903">
        <v>998000</v>
      </c>
      <c r="H43" s="1134">
        <v>998000</v>
      </c>
      <c r="I43" s="906">
        <v>998000</v>
      </c>
      <c r="J43" s="907">
        <v>610000</v>
      </c>
      <c r="K43" s="903">
        <v>646600</v>
      </c>
      <c r="L43" s="1134">
        <v>685396</v>
      </c>
      <c r="Q43" s="247"/>
      <c r="R43" s="248"/>
    </row>
    <row r="44" spans="1:18" ht="11.25" customHeight="1" x14ac:dyDescent="0.25">
      <c r="A44" s="1016" t="s">
        <v>142</v>
      </c>
      <c r="B44" s="955"/>
      <c r="C44" s="1030">
        <v>0</v>
      </c>
      <c r="D44" s="1030">
        <v>1068514.6600000001</v>
      </c>
      <c r="E44" s="1065">
        <v>674045.48</v>
      </c>
      <c r="F44" s="1066">
        <v>888000</v>
      </c>
      <c r="G44" s="1030">
        <v>928000</v>
      </c>
      <c r="H44" s="1067">
        <v>928000</v>
      </c>
      <c r="I44" s="1066">
        <v>928000</v>
      </c>
      <c r="J44" s="1031">
        <v>460000</v>
      </c>
      <c r="K44" s="1030">
        <v>487600</v>
      </c>
      <c r="L44" s="2025">
        <v>516856</v>
      </c>
      <c r="Q44" s="247"/>
      <c r="R44" s="248"/>
    </row>
    <row r="45" spans="1:18" ht="11.25" customHeight="1" x14ac:dyDescent="0.25">
      <c r="A45" s="1016" t="s">
        <v>143</v>
      </c>
      <c r="B45" s="955"/>
      <c r="C45" s="2089">
        <v>0</v>
      </c>
      <c r="D45" s="2089">
        <v>44330</v>
      </c>
      <c r="E45" s="2090">
        <v>48769.27</v>
      </c>
      <c r="F45" s="2091">
        <v>0</v>
      </c>
      <c r="G45" s="2089">
        <v>70000</v>
      </c>
      <c r="H45" s="1786">
        <v>70000</v>
      </c>
      <c r="I45" s="2091">
        <v>70000</v>
      </c>
      <c r="J45" s="2092">
        <v>150000</v>
      </c>
      <c r="K45" s="2089">
        <v>159000</v>
      </c>
      <c r="L45" s="2118">
        <v>168540</v>
      </c>
      <c r="Q45" s="247"/>
      <c r="R45" s="248"/>
    </row>
    <row r="46" spans="1:18" ht="11.25" customHeight="1" x14ac:dyDescent="0.25">
      <c r="A46" s="1016" t="s">
        <v>144</v>
      </c>
      <c r="B46" s="955"/>
      <c r="C46" s="1030">
        <v>0</v>
      </c>
      <c r="D46" s="1030">
        <v>0</v>
      </c>
      <c r="E46" s="1065">
        <v>0</v>
      </c>
      <c r="F46" s="1066">
        <v>0</v>
      </c>
      <c r="G46" s="1030">
        <v>0</v>
      </c>
      <c r="H46" s="1067">
        <v>0</v>
      </c>
      <c r="I46" s="1066">
        <v>0</v>
      </c>
      <c r="J46" s="1031">
        <v>0</v>
      </c>
      <c r="K46" s="1030">
        <v>0</v>
      </c>
      <c r="L46" s="2025">
        <v>0</v>
      </c>
      <c r="Q46" s="247"/>
      <c r="R46" s="248"/>
    </row>
    <row r="47" spans="1:18" ht="11.25" customHeight="1" x14ac:dyDescent="0.25">
      <c r="A47" s="1015" t="s">
        <v>145</v>
      </c>
      <c r="B47" s="955"/>
      <c r="C47" s="903">
        <v>0</v>
      </c>
      <c r="D47" s="903">
        <v>1012857.54</v>
      </c>
      <c r="E47" s="904">
        <v>385280.75</v>
      </c>
      <c r="F47" s="905">
        <v>300000</v>
      </c>
      <c r="G47" s="903">
        <v>482000</v>
      </c>
      <c r="H47" s="906">
        <v>482000</v>
      </c>
      <c r="I47" s="905">
        <v>482000</v>
      </c>
      <c r="J47" s="907">
        <v>2405000</v>
      </c>
      <c r="K47" s="903">
        <v>895700</v>
      </c>
      <c r="L47" s="1134">
        <v>949442</v>
      </c>
      <c r="Q47" s="247"/>
      <c r="R47" s="248"/>
    </row>
    <row r="48" spans="1:18" ht="11.25" customHeight="1" x14ac:dyDescent="0.25">
      <c r="A48" s="1016" t="s">
        <v>146</v>
      </c>
      <c r="B48" s="955"/>
      <c r="C48" s="1030">
        <v>0</v>
      </c>
      <c r="D48" s="1030">
        <v>1012857.54</v>
      </c>
      <c r="E48" s="1065">
        <v>385280.75</v>
      </c>
      <c r="F48" s="1066">
        <v>300000</v>
      </c>
      <c r="G48" s="1030">
        <v>482000</v>
      </c>
      <c r="H48" s="1067">
        <v>482000</v>
      </c>
      <c r="I48" s="1066">
        <v>482000</v>
      </c>
      <c r="J48" s="1031">
        <v>2405000</v>
      </c>
      <c r="K48" s="1030">
        <v>895700</v>
      </c>
      <c r="L48" s="2025">
        <v>949442</v>
      </c>
      <c r="Q48" s="247"/>
      <c r="R48" s="248"/>
    </row>
    <row r="49" spans="1:18" ht="11.25" customHeight="1" x14ac:dyDescent="0.25">
      <c r="A49" s="1016" t="s">
        <v>147</v>
      </c>
      <c r="B49" s="955"/>
      <c r="C49" s="1030">
        <v>0</v>
      </c>
      <c r="D49" s="1030">
        <v>0</v>
      </c>
      <c r="E49" s="1065">
        <v>0</v>
      </c>
      <c r="F49" s="1066">
        <v>0</v>
      </c>
      <c r="G49" s="1030">
        <v>0</v>
      </c>
      <c r="H49" s="1067">
        <v>0</v>
      </c>
      <c r="I49" s="1066">
        <v>0</v>
      </c>
      <c r="J49" s="1031">
        <v>0</v>
      </c>
      <c r="K49" s="1030">
        <v>0</v>
      </c>
      <c r="L49" s="2025">
        <v>0</v>
      </c>
      <c r="Q49" s="247"/>
      <c r="R49" s="248"/>
    </row>
    <row r="50" spans="1:18" ht="11.25" customHeight="1" x14ac:dyDescent="0.25">
      <c r="A50" s="1016" t="s">
        <v>148</v>
      </c>
      <c r="B50" s="955"/>
      <c r="C50" s="1030">
        <v>0</v>
      </c>
      <c r="D50" s="1030">
        <v>0</v>
      </c>
      <c r="E50" s="1065">
        <v>0</v>
      </c>
      <c r="F50" s="1066">
        <v>0</v>
      </c>
      <c r="G50" s="1030">
        <v>0</v>
      </c>
      <c r="H50" s="1067">
        <v>0</v>
      </c>
      <c r="I50" s="1066">
        <v>0</v>
      </c>
      <c r="J50" s="1031">
        <v>0</v>
      </c>
      <c r="K50" s="1030">
        <v>0</v>
      </c>
      <c r="L50" s="2025">
        <v>0</v>
      </c>
      <c r="Q50" s="247"/>
      <c r="R50" s="248"/>
    </row>
    <row r="51" spans="1:18" ht="11.25" customHeight="1" x14ac:dyDescent="0.25">
      <c r="A51" s="1016" t="s">
        <v>1722</v>
      </c>
      <c r="B51" s="955"/>
      <c r="C51" s="1030">
        <v>0</v>
      </c>
      <c r="D51" s="1030">
        <v>0</v>
      </c>
      <c r="E51" s="1065">
        <v>0</v>
      </c>
      <c r="F51" s="1066">
        <v>0</v>
      </c>
      <c r="G51" s="1030">
        <v>0</v>
      </c>
      <c r="H51" s="1067">
        <v>0</v>
      </c>
      <c r="I51" s="1066">
        <v>0</v>
      </c>
      <c r="J51" s="1031">
        <v>0</v>
      </c>
      <c r="K51" s="1030">
        <v>0</v>
      </c>
      <c r="L51" s="2025">
        <v>0</v>
      </c>
      <c r="Q51" s="247"/>
      <c r="R51" s="248"/>
    </row>
    <row r="52" spans="1:18" ht="11.25" customHeight="1" x14ac:dyDescent="0.25">
      <c r="A52" s="1016" t="s">
        <v>1802</v>
      </c>
      <c r="B52" s="955"/>
      <c r="C52" s="2089">
        <v>0</v>
      </c>
      <c r="D52" s="2089">
        <v>0</v>
      </c>
      <c r="E52" s="2090">
        <v>0</v>
      </c>
      <c r="F52" s="2091">
        <v>0</v>
      </c>
      <c r="G52" s="2089">
        <v>0</v>
      </c>
      <c r="H52" s="1786">
        <v>0</v>
      </c>
      <c r="I52" s="2091">
        <v>0</v>
      </c>
      <c r="J52" s="2092">
        <v>0</v>
      </c>
      <c r="K52" s="2089">
        <v>0</v>
      </c>
      <c r="L52" s="2118">
        <v>0</v>
      </c>
      <c r="Q52" s="247"/>
      <c r="R52" s="248"/>
    </row>
    <row r="53" spans="1:18" ht="11.25" customHeight="1" x14ac:dyDescent="0.25">
      <c r="A53" s="1015" t="s">
        <v>149</v>
      </c>
      <c r="B53" s="902"/>
      <c r="C53" s="903">
        <v>10103273</v>
      </c>
      <c r="D53" s="903">
        <v>1777902.5199999996</v>
      </c>
      <c r="E53" s="904">
        <v>1967955.18</v>
      </c>
      <c r="F53" s="905">
        <v>5150000</v>
      </c>
      <c r="G53" s="903">
        <v>5150000</v>
      </c>
      <c r="H53" s="906">
        <v>5150000</v>
      </c>
      <c r="I53" s="905">
        <v>5150000</v>
      </c>
      <c r="J53" s="907">
        <v>4613700</v>
      </c>
      <c r="K53" s="903">
        <v>7500000</v>
      </c>
      <c r="L53" s="1134">
        <v>12843000</v>
      </c>
      <c r="Q53" s="247"/>
      <c r="R53" s="248"/>
    </row>
    <row r="54" spans="1:18" ht="11.25" customHeight="1" x14ac:dyDescent="0.25">
      <c r="A54" s="1016" t="s">
        <v>150</v>
      </c>
      <c r="B54" s="955"/>
      <c r="C54" s="1030">
        <v>10103273</v>
      </c>
      <c r="D54" s="1030">
        <v>1777902.5199999996</v>
      </c>
      <c r="E54" s="1065">
        <v>1967955.18</v>
      </c>
      <c r="F54" s="1066">
        <v>5150000</v>
      </c>
      <c r="G54" s="1030">
        <v>5150000</v>
      </c>
      <c r="H54" s="1067">
        <v>5150000</v>
      </c>
      <c r="I54" s="1066">
        <v>5150000</v>
      </c>
      <c r="J54" s="1031">
        <v>4613700</v>
      </c>
      <c r="K54" s="1030">
        <v>7500000</v>
      </c>
      <c r="L54" s="2025">
        <v>12843000</v>
      </c>
      <c r="Q54" s="247"/>
      <c r="R54" s="248"/>
    </row>
    <row r="55" spans="1:18" ht="11.25" customHeight="1" x14ac:dyDescent="0.25">
      <c r="A55" s="1016" t="s">
        <v>151</v>
      </c>
      <c r="B55" s="955"/>
      <c r="C55" s="1030">
        <v>0</v>
      </c>
      <c r="D55" s="1030">
        <v>0</v>
      </c>
      <c r="E55" s="1065">
        <v>0</v>
      </c>
      <c r="F55" s="1066">
        <v>0</v>
      </c>
      <c r="G55" s="1030">
        <v>0</v>
      </c>
      <c r="H55" s="1067">
        <v>0</v>
      </c>
      <c r="I55" s="1066">
        <v>0</v>
      </c>
      <c r="J55" s="1031">
        <v>0</v>
      </c>
      <c r="K55" s="1030">
        <v>0</v>
      </c>
      <c r="L55" s="2025">
        <v>0</v>
      </c>
      <c r="Q55" s="247"/>
      <c r="R55" s="248"/>
    </row>
    <row r="56" spans="1:18" ht="11.25" customHeight="1" x14ac:dyDescent="0.25">
      <c r="A56" s="1016" t="s">
        <v>152</v>
      </c>
      <c r="B56" s="955"/>
      <c r="C56" s="1030">
        <v>0</v>
      </c>
      <c r="D56" s="1030">
        <v>0</v>
      </c>
      <c r="E56" s="1065">
        <v>0</v>
      </c>
      <c r="F56" s="1066">
        <v>0</v>
      </c>
      <c r="G56" s="1030">
        <v>0</v>
      </c>
      <c r="H56" s="1067">
        <v>0</v>
      </c>
      <c r="I56" s="1066">
        <v>0</v>
      </c>
      <c r="J56" s="1031">
        <v>0</v>
      </c>
      <c r="K56" s="1030">
        <v>0</v>
      </c>
      <c r="L56" s="2025">
        <v>0</v>
      </c>
      <c r="Q56" s="247"/>
      <c r="R56" s="248"/>
    </row>
    <row r="57" spans="1:18" ht="11.25" customHeight="1" x14ac:dyDescent="0.25">
      <c r="A57" s="1015" t="s">
        <v>153</v>
      </c>
      <c r="B57" s="902"/>
      <c r="C57" s="903">
        <v>6708588</v>
      </c>
      <c r="D57" s="903">
        <v>11800621.93</v>
      </c>
      <c r="E57" s="904">
        <v>3070722.1500000004</v>
      </c>
      <c r="F57" s="905">
        <v>3150000</v>
      </c>
      <c r="G57" s="903">
        <v>3150000</v>
      </c>
      <c r="H57" s="906">
        <v>3150000</v>
      </c>
      <c r="I57" s="905">
        <v>3150000</v>
      </c>
      <c r="J57" s="907">
        <v>5336300</v>
      </c>
      <c r="K57" s="903">
        <v>5450000</v>
      </c>
      <c r="L57" s="1134">
        <v>0</v>
      </c>
      <c r="Q57" s="247"/>
      <c r="R57" s="248"/>
    </row>
    <row r="58" spans="1:18" ht="11.25" customHeight="1" x14ac:dyDescent="0.25">
      <c r="A58" s="1016" t="s">
        <v>654</v>
      </c>
      <c r="B58" s="955"/>
      <c r="C58" s="1030">
        <v>3805483</v>
      </c>
      <c r="D58" s="1030">
        <v>2473786.6999999997</v>
      </c>
      <c r="E58" s="1065">
        <v>1314549.96</v>
      </c>
      <c r="F58" s="1066">
        <v>0</v>
      </c>
      <c r="G58" s="1030">
        <v>0</v>
      </c>
      <c r="H58" s="1067">
        <v>0</v>
      </c>
      <c r="I58" s="1066">
        <v>0</v>
      </c>
      <c r="J58" s="1031">
        <v>0</v>
      </c>
      <c r="K58" s="1030">
        <v>0</v>
      </c>
      <c r="L58" s="2025">
        <v>0</v>
      </c>
      <c r="Q58" s="247"/>
      <c r="R58" s="248"/>
    </row>
    <row r="59" spans="1:18" ht="11.25" customHeight="1" x14ac:dyDescent="0.25">
      <c r="A59" s="1016" t="s">
        <v>958</v>
      </c>
      <c r="B59" s="955"/>
      <c r="C59" s="1030">
        <v>1293047</v>
      </c>
      <c r="D59" s="1030">
        <v>8566425.4400000013</v>
      </c>
      <c r="E59" s="1065">
        <v>1146483.99</v>
      </c>
      <c r="F59" s="1066">
        <v>200000</v>
      </c>
      <c r="G59" s="1030">
        <v>200000</v>
      </c>
      <c r="H59" s="1067">
        <v>200000</v>
      </c>
      <c r="I59" s="1066">
        <v>200000</v>
      </c>
      <c r="J59" s="1031">
        <v>0</v>
      </c>
      <c r="K59" s="1030">
        <v>1750000</v>
      </c>
      <c r="L59" s="2025">
        <v>0</v>
      </c>
      <c r="Q59" s="247"/>
      <c r="R59" s="248"/>
    </row>
    <row r="60" spans="1:18" ht="11.25" customHeight="1" x14ac:dyDescent="0.25">
      <c r="A60" s="1016" t="s">
        <v>1136</v>
      </c>
      <c r="B60" s="955"/>
      <c r="C60" s="2089">
        <v>1610058</v>
      </c>
      <c r="D60" s="2089">
        <v>760409.79</v>
      </c>
      <c r="E60" s="2090">
        <v>609688.19999999995</v>
      </c>
      <c r="F60" s="2091">
        <v>2950000</v>
      </c>
      <c r="G60" s="2089">
        <v>2950000</v>
      </c>
      <c r="H60" s="1786">
        <v>2950000</v>
      </c>
      <c r="I60" s="2091">
        <v>2950000</v>
      </c>
      <c r="J60" s="2092">
        <v>0</v>
      </c>
      <c r="K60" s="2089">
        <v>0</v>
      </c>
      <c r="L60" s="2118">
        <v>0</v>
      </c>
      <c r="Q60" s="247"/>
      <c r="R60" s="248"/>
    </row>
    <row r="61" spans="1:18" ht="11.25" customHeight="1" x14ac:dyDescent="0.25">
      <c r="A61" s="1016" t="s">
        <v>1137</v>
      </c>
      <c r="B61" s="955"/>
      <c r="C61" s="1030">
        <v>0</v>
      </c>
      <c r="D61" s="1030">
        <v>0</v>
      </c>
      <c r="E61" s="1065">
        <v>0</v>
      </c>
      <c r="F61" s="1066">
        <v>0</v>
      </c>
      <c r="G61" s="1030">
        <v>0</v>
      </c>
      <c r="H61" s="1067">
        <v>0</v>
      </c>
      <c r="I61" s="1066">
        <v>0</v>
      </c>
      <c r="J61" s="1031">
        <v>5336300</v>
      </c>
      <c r="K61" s="1030">
        <v>3700000</v>
      </c>
      <c r="L61" s="2025">
        <v>0</v>
      </c>
      <c r="Q61" s="247"/>
      <c r="R61" s="248"/>
    </row>
    <row r="62" spans="1:18" ht="11.25" customHeight="1" x14ac:dyDescent="0.25">
      <c r="A62" s="1015" t="s">
        <v>293</v>
      </c>
      <c r="B62" s="902"/>
      <c r="C62" s="2119">
        <v>0</v>
      </c>
      <c r="D62" s="2119">
        <v>0</v>
      </c>
      <c r="E62" s="2120">
        <v>0</v>
      </c>
      <c r="F62" s="2121">
        <v>0</v>
      </c>
      <c r="G62" s="2119">
        <v>0</v>
      </c>
      <c r="H62" s="1849">
        <v>0</v>
      </c>
      <c r="I62" s="2121">
        <v>0</v>
      </c>
      <c r="J62" s="2122">
        <v>0</v>
      </c>
      <c r="K62" s="2123">
        <v>0</v>
      </c>
      <c r="L62" s="2124">
        <v>0</v>
      </c>
      <c r="Q62" s="247"/>
      <c r="R62" s="248"/>
    </row>
    <row r="63" spans="1:18" x14ac:dyDescent="0.25">
      <c r="A63" s="304" t="s">
        <v>1246</v>
      </c>
      <c r="B63" s="287">
        <v>3</v>
      </c>
      <c r="C63" s="224">
        <v>16811861</v>
      </c>
      <c r="D63" s="224">
        <v>15704226.649999999</v>
      </c>
      <c r="E63" s="320">
        <v>6146772.8300000001</v>
      </c>
      <c r="F63" s="321">
        <v>9488000</v>
      </c>
      <c r="G63" s="224">
        <v>9780000</v>
      </c>
      <c r="H63" s="320">
        <v>9780000</v>
      </c>
      <c r="I63" s="223">
        <v>9780000</v>
      </c>
      <c r="J63" s="321">
        <v>12965000</v>
      </c>
      <c r="K63" s="224">
        <v>14492300</v>
      </c>
      <c r="L63" s="320">
        <v>14477838</v>
      </c>
    </row>
    <row r="64" spans="1:18" ht="5.0999999999999996" customHeight="1" x14ac:dyDescent="0.25">
      <c r="A64" s="196"/>
      <c r="B64" s="279"/>
      <c r="C64" s="357"/>
      <c r="D64" s="357"/>
      <c r="E64" s="359"/>
      <c r="F64" s="358"/>
      <c r="G64" s="357"/>
      <c r="H64" s="313"/>
      <c r="I64" s="359"/>
      <c r="J64" s="358"/>
      <c r="K64" s="357"/>
      <c r="L64" s="313"/>
    </row>
    <row r="65" spans="1:13" ht="11.25" customHeight="1" x14ac:dyDescent="0.25">
      <c r="A65" s="180" t="s">
        <v>493</v>
      </c>
      <c r="B65" s="279"/>
      <c r="C65" s="205"/>
      <c r="D65" s="205"/>
      <c r="E65" s="208"/>
      <c r="F65" s="246"/>
      <c r="G65" s="205"/>
      <c r="H65" s="256"/>
      <c r="I65" s="208"/>
      <c r="J65" s="246"/>
      <c r="K65" s="205"/>
      <c r="L65" s="256"/>
    </row>
    <row r="66" spans="1:13" ht="11.25" customHeight="1" x14ac:dyDescent="0.25">
      <c r="A66" s="378" t="s">
        <v>1561</v>
      </c>
      <c r="B66" s="279"/>
      <c r="C66" s="1030">
        <v>5560444.3900000006</v>
      </c>
      <c r="D66" s="1030">
        <v>13065498.3018</v>
      </c>
      <c r="E66" s="1067">
        <v>2123583</v>
      </c>
      <c r="F66" s="1066">
        <v>9488000</v>
      </c>
      <c r="G66" s="1030">
        <v>9488000</v>
      </c>
      <c r="H66" s="1065">
        <v>9488000</v>
      </c>
      <c r="I66" s="1067">
        <v>9488000</v>
      </c>
      <c r="J66" s="1066">
        <v>11510000</v>
      </c>
      <c r="K66" s="1030">
        <v>12141000</v>
      </c>
      <c r="L66" s="1065">
        <v>12843000</v>
      </c>
    </row>
    <row r="67" spans="1:13" ht="11.25" customHeight="1" x14ac:dyDescent="0.25">
      <c r="A67" s="378" t="s">
        <v>545</v>
      </c>
      <c r="B67" s="279"/>
      <c r="C67" s="2089">
        <v>0</v>
      </c>
      <c r="D67" s="1030">
        <v>0</v>
      </c>
      <c r="E67" s="1067">
        <v>1306690</v>
      </c>
      <c r="F67" s="1066">
        <v>0</v>
      </c>
      <c r="G67" s="1030">
        <v>0</v>
      </c>
      <c r="H67" s="1065">
        <v>0</v>
      </c>
      <c r="I67" s="1067">
        <v>0</v>
      </c>
      <c r="J67" s="1066">
        <v>0</v>
      </c>
      <c r="K67" s="1030">
        <v>0</v>
      </c>
      <c r="L67" s="1065">
        <v>0</v>
      </c>
    </row>
    <row r="68" spans="1:13" ht="11.25" customHeight="1" x14ac:dyDescent="0.25">
      <c r="A68" s="378" t="s">
        <v>546</v>
      </c>
      <c r="B68" s="279"/>
      <c r="C68" s="2089">
        <v>0</v>
      </c>
      <c r="D68" s="2089">
        <v>0</v>
      </c>
      <c r="E68" s="2089">
        <v>0</v>
      </c>
      <c r="F68" s="2091">
        <v>0</v>
      </c>
      <c r="G68" s="2089">
        <v>0</v>
      </c>
      <c r="H68" s="2090">
        <v>0</v>
      </c>
      <c r="I68" s="1067">
        <v>0</v>
      </c>
      <c r="J68" s="2091">
        <v>0</v>
      </c>
      <c r="K68" s="2089">
        <v>0</v>
      </c>
      <c r="L68" s="2090">
        <v>0</v>
      </c>
    </row>
    <row r="69" spans="1:13" ht="11.25" customHeight="1" x14ac:dyDescent="0.25">
      <c r="A69" s="1020" t="s">
        <v>1042</v>
      </c>
      <c r="B69" s="279"/>
      <c r="C69" s="2089">
        <v>1032790.6299999999</v>
      </c>
      <c r="D69" s="2089">
        <v>0</v>
      </c>
      <c r="E69" s="1786">
        <v>0</v>
      </c>
      <c r="F69" s="2091">
        <v>0</v>
      </c>
      <c r="G69" s="2089">
        <v>0</v>
      </c>
      <c r="H69" s="2090">
        <v>0</v>
      </c>
      <c r="I69" s="1066">
        <v>0</v>
      </c>
      <c r="J69" s="2091">
        <v>0</v>
      </c>
      <c r="K69" s="2089">
        <v>0</v>
      </c>
      <c r="L69" s="2090">
        <v>0</v>
      </c>
    </row>
    <row r="70" spans="1:13" ht="11.25" customHeight="1" x14ac:dyDescent="0.25">
      <c r="A70" s="1260" t="s">
        <v>1352</v>
      </c>
      <c r="B70" s="279">
        <v>4</v>
      </c>
      <c r="C70" s="259">
        <v>6593235.0200000005</v>
      </c>
      <c r="D70" s="259">
        <v>13065498.3018</v>
      </c>
      <c r="E70" s="258">
        <v>3430273</v>
      </c>
      <c r="F70" s="261">
        <v>9488000</v>
      </c>
      <c r="G70" s="259">
        <v>9488000</v>
      </c>
      <c r="H70" s="260">
        <v>9488000</v>
      </c>
      <c r="I70" s="258">
        <v>9488000</v>
      </c>
      <c r="J70" s="261">
        <v>11510000</v>
      </c>
      <c r="K70" s="259">
        <v>12141000</v>
      </c>
      <c r="L70" s="260">
        <v>12843000</v>
      </c>
      <c r="M70" s="1265"/>
    </row>
    <row r="71" spans="1:13" ht="11.25" customHeight="1" x14ac:dyDescent="0.25">
      <c r="A71" s="377" t="s">
        <v>460</v>
      </c>
      <c r="B71" s="279">
        <v>5</v>
      </c>
      <c r="C71" s="2089">
        <v>0</v>
      </c>
      <c r="D71" s="1030">
        <v>0</v>
      </c>
      <c r="E71" s="1067">
        <v>0</v>
      </c>
      <c r="F71" s="1066">
        <v>0</v>
      </c>
      <c r="G71" s="1030">
        <v>0</v>
      </c>
      <c r="H71" s="1065">
        <v>0</v>
      </c>
      <c r="I71" s="1067">
        <v>0</v>
      </c>
      <c r="J71" s="1066">
        <v>0</v>
      </c>
      <c r="K71" s="1030">
        <v>0</v>
      </c>
      <c r="L71" s="1065">
        <v>0</v>
      </c>
    </row>
    <row r="72" spans="1:13" ht="11.25" customHeight="1" x14ac:dyDescent="0.25">
      <c r="A72" s="377" t="s">
        <v>1288</v>
      </c>
      <c r="B72" s="279">
        <v>6</v>
      </c>
      <c r="C72" s="1030">
        <v>0</v>
      </c>
      <c r="D72" s="1030">
        <v>177073.18025855755</v>
      </c>
      <c r="E72" s="1067">
        <v>0</v>
      </c>
      <c r="F72" s="1066">
        <v>0</v>
      </c>
      <c r="G72" s="1030">
        <v>0</v>
      </c>
      <c r="H72" s="1065">
        <v>0</v>
      </c>
      <c r="I72" s="1067">
        <v>0</v>
      </c>
      <c r="J72" s="1066">
        <v>0</v>
      </c>
      <c r="K72" s="1030">
        <v>0</v>
      </c>
      <c r="L72" s="1065">
        <v>0</v>
      </c>
    </row>
    <row r="73" spans="1:13" ht="11.25" customHeight="1" x14ac:dyDescent="0.25">
      <c r="A73" s="377" t="s">
        <v>494</v>
      </c>
      <c r="B73" s="279"/>
      <c r="C73" s="1030">
        <v>10218625.98</v>
      </c>
      <c r="D73" s="1030">
        <v>2461655.1679414413</v>
      </c>
      <c r="E73" s="1067">
        <v>2716499.83</v>
      </c>
      <c r="F73" s="1066">
        <v>0</v>
      </c>
      <c r="G73" s="1030">
        <v>292000</v>
      </c>
      <c r="H73" s="1065">
        <v>292000</v>
      </c>
      <c r="I73" s="1067">
        <v>292000</v>
      </c>
      <c r="J73" s="1066">
        <v>1455000</v>
      </c>
      <c r="K73" s="1030">
        <v>2351300</v>
      </c>
      <c r="L73" s="1065">
        <v>1634838</v>
      </c>
    </row>
    <row r="74" spans="1:13" x14ac:dyDescent="0.25">
      <c r="A74" s="221" t="s">
        <v>783</v>
      </c>
      <c r="B74" s="287">
        <v>7</v>
      </c>
      <c r="C74" s="224">
        <v>16811861</v>
      </c>
      <c r="D74" s="224">
        <v>15704226.649999999</v>
      </c>
      <c r="E74" s="223">
        <v>6146772.8300000001</v>
      </c>
      <c r="F74" s="321">
        <v>9488000</v>
      </c>
      <c r="G74" s="224">
        <v>9780000</v>
      </c>
      <c r="H74" s="320">
        <v>9780000</v>
      </c>
      <c r="I74" s="223">
        <v>9780000</v>
      </c>
      <c r="J74" s="321">
        <v>12965000</v>
      </c>
      <c r="K74" s="224">
        <v>14492300</v>
      </c>
      <c r="L74" s="320">
        <v>14477838</v>
      </c>
    </row>
    <row r="75" spans="1:13" s="625" customFormat="1" x14ac:dyDescent="0.25">
      <c r="A75" s="995" t="s">
        <v>986</v>
      </c>
      <c r="B75" s="961"/>
      <c r="C75" s="2045"/>
      <c r="D75" s="2045"/>
      <c r="E75" s="2045"/>
      <c r="F75" s="2045"/>
      <c r="G75" s="2045"/>
      <c r="H75" s="2045"/>
      <c r="I75" s="2045"/>
      <c r="J75" s="2045"/>
      <c r="K75" s="2045"/>
      <c r="L75" s="2045"/>
      <c r="M75" s="873"/>
    </row>
    <row r="76" spans="1:13" s="625" customFormat="1" ht="12" customHeight="1" x14ac:dyDescent="0.25">
      <c r="A76" s="962" t="s">
        <v>194</v>
      </c>
      <c r="B76" s="961"/>
      <c r="C76" s="2044"/>
      <c r="D76" s="2044"/>
      <c r="E76" s="2045"/>
      <c r="F76" s="2045"/>
      <c r="G76" s="2045"/>
      <c r="H76" s="2045"/>
      <c r="I76" s="2045"/>
      <c r="J76" s="2045"/>
      <c r="K76" s="2045"/>
      <c r="L76" s="2045"/>
      <c r="M76" s="873"/>
    </row>
    <row r="77" spans="1:13" s="625" customFormat="1" ht="12" customHeight="1" x14ac:dyDescent="0.25">
      <c r="A77" s="2720" t="s">
        <v>1043</v>
      </c>
      <c r="B77" s="2720"/>
      <c r="C77" s="2720"/>
      <c r="D77" s="2720"/>
      <c r="E77" s="2720"/>
      <c r="F77" s="2720"/>
      <c r="G77" s="2720"/>
      <c r="H77" s="2720"/>
      <c r="I77" s="2720"/>
      <c r="J77" s="2720"/>
      <c r="K77" s="2720"/>
      <c r="L77" s="2720"/>
      <c r="M77" s="873"/>
    </row>
    <row r="78" spans="1:13" s="625" customFormat="1" ht="12" customHeight="1" x14ac:dyDescent="0.25">
      <c r="A78" s="2720" t="s">
        <v>1044</v>
      </c>
      <c r="B78" s="2720"/>
      <c r="C78" s="2720"/>
      <c r="D78" s="2720"/>
      <c r="E78" s="2720"/>
      <c r="F78" s="2720"/>
      <c r="G78" s="2720"/>
      <c r="H78" s="2720"/>
      <c r="I78" s="2720"/>
      <c r="J78" s="2720"/>
      <c r="K78" s="2720"/>
      <c r="L78" s="2720"/>
      <c r="M78" s="873"/>
    </row>
    <row r="79" spans="1:13" s="625" customFormat="1" ht="12" customHeight="1" x14ac:dyDescent="0.25">
      <c r="A79" s="2721" t="s">
        <v>1045</v>
      </c>
      <c r="B79" s="2721"/>
      <c r="C79" s="2721"/>
      <c r="D79" s="2721"/>
      <c r="E79" s="2721"/>
      <c r="F79" s="2721"/>
      <c r="G79" s="2721"/>
      <c r="H79" s="2721"/>
      <c r="I79" s="2721"/>
      <c r="J79" s="2721"/>
      <c r="K79" s="2721"/>
      <c r="L79" s="2721"/>
      <c r="M79" s="873"/>
    </row>
    <row r="80" spans="1:13" s="625" customFormat="1" ht="12" customHeight="1" x14ac:dyDescent="0.25">
      <c r="A80" s="962" t="s">
        <v>195</v>
      </c>
      <c r="B80" s="1013"/>
      <c r="C80" s="2125"/>
      <c r="D80" s="2125"/>
      <c r="E80" s="2125"/>
      <c r="F80" s="2125"/>
      <c r="G80" s="2125"/>
      <c r="H80" s="2125"/>
      <c r="I80" s="2125"/>
      <c r="J80" s="2125"/>
      <c r="K80" s="2125"/>
      <c r="L80" s="2125"/>
      <c r="M80" s="873"/>
    </row>
    <row r="81" spans="1:13" s="625" customFormat="1" ht="12" customHeight="1" x14ac:dyDescent="0.25">
      <c r="A81" s="962" t="s">
        <v>1046</v>
      </c>
      <c r="B81" s="1013"/>
      <c r="C81" s="2125"/>
      <c r="D81" s="2125"/>
      <c r="E81" s="2125"/>
      <c r="F81" s="2125"/>
      <c r="G81" s="2125"/>
      <c r="H81" s="2125"/>
      <c r="I81" s="2125"/>
      <c r="J81" s="2125"/>
      <c r="K81" s="2125"/>
      <c r="L81" s="2125"/>
      <c r="M81" s="873"/>
    </row>
    <row r="82" spans="1:13" s="625" customFormat="1" ht="12" customHeight="1" x14ac:dyDescent="0.25">
      <c r="A82" s="962" t="s">
        <v>196</v>
      </c>
      <c r="B82" s="961"/>
      <c r="C82" s="2044"/>
      <c r="D82" s="2044"/>
      <c r="E82" s="2045"/>
      <c r="F82" s="2045"/>
      <c r="G82" s="2045"/>
      <c r="H82" s="2045"/>
      <c r="I82" s="2045"/>
      <c r="J82" s="2045"/>
      <c r="K82" s="2045"/>
      <c r="L82" s="2045"/>
      <c r="M82" s="873"/>
    </row>
    <row r="83" spans="1:13" s="849" customFormat="1" ht="12" customHeight="1" x14ac:dyDescent="0.25">
      <c r="A83" s="2719" t="s">
        <v>1458</v>
      </c>
      <c r="B83" s="2719"/>
      <c r="C83" s="2719"/>
      <c r="D83" s="2719"/>
      <c r="E83" s="2719"/>
      <c r="F83" s="2719"/>
      <c r="G83" s="2719"/>
      <c r="H83" s="2719"/>
      <c r="I83" s="2719"/>
      <c r="J83" s="2719"/>
      <c r="K83" s="2719"/>
      <c r="L83" s="2719"/>
      <c r="M83" s="1266"/>
    </row>
    <row r="84" spans="1:13" s="849" customFormat="1" ht="11.25" customHeight="1" x14ac:dyDescent="0.25">
      <c r="C84" s="1266"/>
      <c r="D84" s="1266"/>
      <c r="E84" s="1266"/>
      <c r="F84" s="1266"/>
      <c r="G84" s="1266"/>
      <c r="H84" s="1266"/>
      <c r="I84" s="1266"/>
      <c r="J84" s="1266"/>
      <c r="K84" s="1266"/>
      <c r="L84" s="1266"/>
      <c r="M84" s="1266"/>
    </row>
    <row r="85" spans="1:13" ht="11.25" customHeight="1" x14ac:dyDescent="0.25">
      <c r="A85" s="275" t="s">
        <v>296</v>
      </c>
      <c r="B85" s="238"/>
      <c r="C85" s="2126">
        <v>0</v>
      </c>
      <c r="D85" s="2126">
        <v>0</v>
      </c>
      <c r="E85" s="310">
        <v>0</v>
      </c>
      <c r="F85" s="310">
        <v>0</v>
      </c>
      <c r="G85" s="310">
        <v>0</v>
      </c>
      <c r="H85" s="310">
        <v>0</v>
      </c>
      <c r="I85" s="310">
        <v>0</v>
      </c>
      <c r="J85" s="310">
        <v>0</v>
      </c>
      <c r="K85" s="310">
        <v>0</v>
      </c>
      <c r="L85" s="310">
        <v>0</v>
      </c>
    </row>
    <row r="86" spans="1:13" ht="11.25" customHeight="1" x14ac:dyDescent="0.25">
      <c r="A86" s="275"/>
      <c r="C86" s="2126"/>
      <c r="D86" s="2126"/>
      <c r="E86" s="310"/>
      <c r="F86" s="310"/>
      <c r="G86" s="310"/>
      <c r="H86" s="310"/>
      <c r="I86" s="310"/>
      <c r="J86" s="310"/>
      <c r="K86" s="310"/>
      <c r="L86" s="310"/>
    </row>
    <row r="87" spans="1:13" ht="11.25" customHeight="1" x14ac:dyDescent="0.25"/>
    <row r="88" spans="1:13" ht="11.25" customHeight="1" x14ac:dyDescent="0.25"/>
    <row r="89" spans="1:13" ht="11.25" customHeight="1" x14ac:dyDescent="0.25"/>
    <row r="90" spans="1:13" ht="11.25" customHeight="1" x14ac:dyDescent="0.25"/>
    <row r="91" spans="1:13" ht="11.25" customHeight="1" x14ac:dyDescent="0.25"/>
    <row r="92" spans="1:13" ht="11.25" customHeight="1" x14ac:dyDescent="0.25"/>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sheetData>
  <mergeCells count="6">
    <mergeCell ref="J2:L2"/>
    <mergeCell ref="F2:I2"/>
    <mergeCell ref="A83:L83"/>
    <mergeCell ref="A78:L78"/>
    <mergeCell ref="A77:L77"/>
    <mergeCell ref="A79:L79"/>
  </mergeCells>
  <phoneticPr fontId="4" type="noConversion"/>
  <pageMargins left="0.75" right="0.75" top="1" bottom="1" header="0.5" footer="0.5"/>
  <pageSetup scale="6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44"/>
    <pageSetUpPr fitToPage="1"/>
  </sheetPr>
  <dimension ref="A1:X348"/>
  <sheetViews>
    <sheetView showGridLines="0" showZeros="0" tabSelected="1" workbookViewId="0">
      <selection activeCell="I39" sqref="I39"/>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3.5703125" style="338" customWidth="1"/>
    <col min="14" max="14" width="10.140625" style="338" customWidth="1"/>
    <col min="15" max="15" width="9.85546875" style="338" customWidth="1"/>
    <col min="16" max="16" width="9.5703125" style="338" customWidth="1"/>
    <col min="17" max="17" width="10" style="338" customWidth="1"/>
    <col min="18" max="18" width="10.140625" style="338" customWidth="1"/>
    <col min="19" max="19" width="9.85546875" style="338" customWidth="1"/>
    <col min="20" max="20" width="9.5703125" style="338" customWidth="1"/>
    <col min="21" max="21" width="10" style="338" customWidth="1"/>
    <col min="22" max="22" width="9.5703125" style="338" customWidth="1"/>
    <col min="23" max="24" width="9.85546875" style="338" customWidth="1"/>
    <col min="25" max="16384" width="9.140625" style="148"/>
  </cols>
  <sheetData>
    <row r="1" spans="1:24" s="178" customFormat="1" x14ac:dyDescent="0.2">
      <c r="A1" s="146" t="s">
        <v>2498</v>
      </c>
      <c r="B1" s="146"/>
      <c r="C1" s="1997"/>
      <c r="D1" s="1997"/>
      <c r="E1" s="1997"/>
      <c r="F1" s="1997"/>
      <c r="G1" s="1997"/>
      <c r="H1" s="1997"/>
      <c r="I1" s="1997"/>
      <c r="J1" s="1997"/>
      <c r="K1" s="1997"/>
      <c r="L1" s="1997"/>
      <c r="M1" s="2049"/>
      <c r="N1" s="2049"/>
      <c r="O1" s="2049"/>
      <c r="P1" s="2049"/>
      <c r="Q1" s="2049"/>
      <c r="R1" s="2049"/>
      <c r="S1" s="2049"/>
      <c r="T1" s="2049"/>
      <c r="U1" s="2049"/>
      <c r="V1" s="2049"/>
      <c r="W1" s="2049"/>
      <c r="X1" s="2049"/>
    </row>
    <row r="2" spans="1:24" ht="28.5" customHeight="1" x14ac:dyDescent="0.25">
      <c r="A2" s="784" t="s">
        <v>809</v>
      </c>
      <c r="B2" s="379" t="s">
        <v>429</v>
      </c>
      <c r="C2" s="149" t="s">
        <v>2478</v>
      </c>
      <c r="D2" s="149" t="s">
        <v>2479</v>
      </c>
      <c r="E2" s="1996" t="s">
        <v>2480</v>
      </c>
      <c r="F2" s="2700" t="s">
        <v>2481</v>
      </c>
      <c r="G2" s="2701"/>
      <c r="H2" s="2701"/>
      <c r="I2" s="2701"/>
      <c r="J2" s="2697" t="s">
        <v>2482</v>
      </c>
      <c r="K2" s="2698"/>
      <c r="L2" s="2699"/>
      <c r="N2" s="2697" t="s">
        <v>2227</v>
      </c>
      <c r="O2" s="2698"/>
      <c r="P2" s="2698"/>
      <c r="Q2" s="2699"/>
      <c r="R2" s="2697" t="s">
        <v>2228</v>
      </c>
      <c r="S2" s="2698"/>
      <c r="T2" s="2698"/>
      <c r="U2" s="2699"/>
      <c r="V2" s="2697" t="s">
        <v>2229</v>
      </c>
      <c r="W2" s="2698"/>
      <c r="X2" s="2699"/>
    </row>
    <row r="3" spans="1:24" ht="38.25" x14ac:dyDescent="0.25">
      <c r="A3" s="179" t="s">
        <v>667</v>
      </c>
      <c r="B3" s="277">
        <v>1</v>
      </c>
      <c r="C3" s="2009" t="s">
        <v>1065</v>
      </c>
      <c r="D3" s="2009" t="s">
        <v>1065</v>
      </c>
      <c r="E3" s="354" t="s">
        <v>1065</v>
      </c>
      <c r="F3" s="2004" t="s">
        <v>467</v>
      </c>
      <c r="G3" s="2009" t="s">
        <v>1807</v>
      </c>
      <c r="H3" s="354" t="s">
        <v>1808</v>
      </c>
      <c r="I3" s="2018" t="s">
        <v>672</v>
      </c>
      <c r="J3" s="2004" t="s">
        <v>2483</v>
      </c>
      <c r="K3" s="2009" t="s">
        <v>2484</v>
      </c>
      <c r="L3" s="354" t="s">
        <v>2485</v>
      </c>
      <c r="N3" s="2004" t="s">
        <v>2230</v>
      </c>
      <c r="O3" s="2009" t="s">
        <v>2231</v>
      </c>
      <c r="P3" s="354" t="s">
        <v>2236</v>
      </c>
      <c r="Q3" s="2018" t="s">
        <v>2232</v>
      </c>
      <c r="R3" s="2004" t="s">
        <v>2230</v>
      </c>
      <c r="S3" s="2009" t="s">
        <v>2231</v>
      </c>
      <c r="T3" s="2018" t="s">
        <v>2236</v>
      </c>
      <c r="U3" s="1693" t="s">
        <v>2232</v>
      </c>
      <c r="V3" s="2018" t="s">
        <v>2483</v>
      </c>
      <c r="W3" s="2009" t="s">
        <v>2484</v>
      </c>
      <c r="X3" s="354" t="s">
        <v>2485</v>
      </c>
    </row>
    <row r="4" spans="1:24" x14ac:dyDescent="0.25">
      <c r="A4" s="180" t="s">
        <v>1821</v>
      </c>
      <c r="B4" s="278"/>
      <c r="C4" s="749"/>
      <c r="D4" s="749"/>
      <c r="E4" s="750"/>
      <c r="F4" s="773"/>
      <c r="G4" s="749"/>
      <c r="H4" s="774"/>
      <c r="I4" s="750"/>
      <c r="J4" s="2127"/>
      <c r="K4" s="749"/>
      <c r="L4" s="2128"/>
      <c r="N4" s="773"/>
      <c r="O4" s="749"/>
      <c r="P4" s="774"/>
      <c r="Q4" s="750"/>
      <c r="R4" s="773"/>
      <c r="S4" s="749"/>
      <c r="T4" s="750"/>
      <c r="U4" s="2129"/>
      <c r="V4" s="750"/>
      <c r="W4" s="749"/>
      <c r="X4" s="2128"/>
    </row>
    <row r="5" spans="1:24" ht="11.25" customHeight="1" x14ac:dyDescent="0.25">
      <c r="A5" s="180" t="s">
        <v>388</v>
      </c>
      <c r="B5" s="279">
        <v>2</v>
      </c>
      <c r="C5" s="776"/>
      <c r="D5" s="776"/>
      <c r="E5" s="2106"/>
      <c r="F5" s="778"/>
      <c r="G5" s="776"/>
      <c r="H5" s="779"/>
      <c r="I5" s="2106"/>
      <c r="J5" s="2130"/>
      <c r="K5" s="776"/>
      <c r="L5" s="2131"/>
      <c r="N5" s="778"/>
      <c r="O5" s="776"/>
      <c r="P5" s="779"/>
      <c r="Q5" s="2106"/>
      <c r="R5" s="778"/>
      <c r="S5" s="776"/>
      <c r="T5" s="2106"/>
      <c r="U5" s="2132"/>
      <c r="V5" s="2106"/>
      <c r="W5" s="776"/>
      <c r="X5" s="2131"/>
    </row>
    <row r="6" spans="1:24" ht="15" customHeight="1" x14ac:dyDescent="0.25">
      <c r="A6" s="941" t="s">
        <v>2374</v>
      </c>
      <c r="B6" s="785"/>
      <c r="C6" s="755">
        <v>0</v>
      </c>
      <c r="D6" s="755">
        <v>0</v>
      </c>
      <c r="E6" s="758">
        <v>0</v>
      </c>
      <c r="F6" s="757">
        <v>0</v>
      </c>
      <c r="G6" s="755">
        <v>0</v>
      </c>
      <c r="H6" s="758">
        <v>0</v>
      </c>
      <c r="I6" s="756">
        <v>0</v>
      </c>
      <c r="J6" s="1930">
        <v>0</v>
      </c>
      <c r="K6" s="755">
        <v>0</v>
      </c>
      <c r="L6" s="1931">
        <v>0</v>
      </c>
      <c r="M6" s="943"/>
      <c r="N6" s="757">
        <v>0</v>
      </c>
      <c r="O6" s="755">
        <v>0</v>
      </c>
      <c r="P6" s="758">
        <v>0</v>
      </c>
      <c r="Q6" s="758">
        <v>0</v>
      </c>
      <c r="R6" s="757">
        <v>0</v>
      </c>
      <c r="S6" s="755">
        <v>0</v>
      </c>
      <c r="T6" s="2133">
        <v>0</v>
      </c>
      <c r="U6" s="2134">
        <v>0</v>
      </c>
      <c r="V6" s="756">
        <v>0</v>
      </c>
      <c r="W6" s="755">
        <v>0</v>
      </c>
      <c r="X6" s="1931">
        <v>0</v>
      </c>
    </row>
    <row r="7" spans="1:24" ht="11.25" customHeight="1" x14ac:dyDescent="0.25">
      <c r="A7" s="942" t="s">
        <v>2316</v>
      </c>
      <c r="B7" s="279"/>
      <c r="C7" s="2057">
        <v>0</v>
      </c>
      <c r="D7" s="2057">
        <v>0</v>
      </c>
      <c r="E7" s="1065">
        <v>0</v>
      </c>
      <c r="F7" s="2059">
        <v>0</v>
      </c>
      <c r="G7" s="2057">
        <v>0</v>
      </c>
      <c r="H7" s="2058">
        <v>0</v>
      </c>
      <c r="I7" s="2060">
        <v>0</v>
      </c>
      <c r="J7" s="1930">
        <v>0</v>
      </c>
      <c r="K7" s="755">
        <v>0</v>
      </c>
      <c r="L7" s="1931">
        <v>0</v>
      </c>
      <c r="M7" s="2135"/>
      <c r="N7" s="2059">
        <v>0</v>
      </c>
      <c r="O7" s="2057">
        <v>0</v>
      </c>
      <c r="P7" s="2058">
        <v>0</v>
      </c>
      <c r="Q7" s="757">
        <v>0</v>
      </c>
      <c r="R7" s="2059">
        <v>0</v>
      </c>
      <c r="S7" s="2057">
        <v>0</v>
      </c>
      <c r="T7" s="2060">
        <v>0</v>
      </c>
      <c r="U7" s="2134">
        <v>0</v>
      </c>
      <c r="V7" s="2060">
        <v>0</v>
      </c>
      <c r="W7" s="2057">
        <v>0</v>
      </c>
      <c r="X7" s="2136">
        <v>0</v>
      </c>
    </row>
    <row r="8" spans="1:24" ht="11.25" customHeight="1" x14ac:dyDescent="0.25">
      <c r="A8" s="942" t="s">
        <v>2317</v>
      </c>
      <c r="B8" s="279"/>
      <c r="C8" s="2057">
        <v>0</v>
      </c>
      <c r="D8" s="2057">
        <v>0</v>
      </c>
      <c r="E8" s="2058">
        <v>0</v>
      </c>
      <c r="F8" s="2059">
        <v>0</v>
      </c>
      <c r="G8" s="2057">
        <v>0</v>
      </c>
      <c r="H8" s="2058">
        <v>0</v>
      </c>
      <c r="I8" s="2060">
        <v>0</v>
      </c>
      <c r="J8" s="1930">
        <v>0</v>
      </c>
      <c r="K8" s="755">
        <v>0</v>
      </c>
      <c r="L8" s="1931">
        <v>0</v>
      </c>
      <c r="M8" s="2135"/>
      <c r="N8" s="2059">
        <v>0</v>
      </c>
      <c r="O8" s="2057">
        <v>0</v>
      </c>
      <c r="P8" s="2058">
        <v>0</v>
      </c>
      <c r="Q8" s="757">
        <v>0</v>
      </c>
      <c r="R8" s="2059">
        <v>0</v>
      </c>
      <c r="S8" s="2057">
        <v>0</v>
      </c>
      <c r="T8" s="2060">
        <v>0</v>
      </c>
      <c r="U8" s="2134">
        <v>0</v>
      </c>
      <c r="V8" s="2060">
        <v>0</v>
      </c>
      <c r="W8" s="2057">
        <v>0</v>
      </c>
      <c r="X8" s="2136">
        <v>0</v>
      </c>
    </row>
    <row r="9" spans="1:24" ht="11.25" customHeight="1" x14ac:dyDescent="0.25">
      <c r="A9" s="942" t="s">
        <v>2318</v>
      </c>
      <c r="B9" s="279"/>
      <c r="C9" s="2057">
        <v>0</v>
      </c>
      <c r="D9" s="2057">
        <v>0</v>
      </c>
      <c r="E9" s="2058">
        <v>0</v>
      </c>
      <c r="F9" s="2059">
        <v>0</v>
      </c>
      <c r="G9" s="2057">
        <v>0</v>
      </c>
      <c r="H9" s="2058">
        <v>0</v>
      </c>
      <c r="I9" s="2060">
        <v>0</v>
      </c>
      <c r="J9" s="1930">
        <v>0</v>
      </c>
      <c r="K9" s="755">
        <v>0</v>
      </c>
      <c r="L9" s="1931">
        <v>0</v>
      </c>
      <c r="M9" s="2135"/>
      <c r="N9" s="2059">
        <v>0</v>
      </c>
      <c r="O9" s="2057">
        <v>0</v>
      </c>
      <c r="P9" s="2058">
        <v>0</v>
      </c>
      <c r="Q9" s="757">
        <v>0</v>
      </c>
      <c r="R9" s="2059">
        <v>0</v>
      </c>
      <c r="S9" s="2057">
        <v>0</v>
      </c>
      <c r="T9" s="2060">
        <v>0</v>
      </c>
      <c r="U9" s="2134">
        <v>0</v>
      </c>
      <c r="V9" s="2060">
        <v>0</v>
      </c>
      <c r="W9" s="2057">
        <v>0</v>
      </c>
      <c r="X9" s="2136">
        <v>0</v>
      </c>
    </row>
    <row r="10" spans="1:24" ht="11.25" customHeight="1" x14ac:dyDescent="0.25">
      <c r="A10" s="942" t="s">
        <v>2319</v>
      </c>
      <c r="B10" s="279"/>
      <c r="C10" s="2057">
        <v>0</v>
      </c>
      <c r="D10" s="2057">
        <v>0</v>
      </c>
      <c r="E10" s="2058">
        <v>0</v>
      </c>
      <c r="F10" s="2059">
        <v>0</v>
      </c>
      <c r="G10" s="2057">
        <v>0</v>
      </c>
      <c r="H10" s="2058">
        <v>0</v>
      </c>
      <c r="I10" s="2060">
        <v>0</v>
      </c>
      <c r="J10" s="1930">
        <v>0</v>
      </c>
      <c r="K10" s="755">
        <v>0</v>
      </c>
      <c r="L10" s="1931">
        <v>0</v>
      </c>
      <c r="M10" s="2135"/>
      <c r="N10" s="2059">
        <v>0</v>
      </c>
      <c r="O10" s="2057">
        <v>0</v>
      </c>
      <c r="P10" s="2058">
        <v>0</v>
      </c>
      <c r="Q10" s="757">
        <v>0</v>
      </c>
      <c r="R10" s="2059">
        <v>0</v>
      </c>
      <c r="S10" s="2057">
        <v>0</v>
      </c>
      <c r="T10" s="2060">
        <v>0</v>
      </c>
      <c r="U10" s="2134">
        <v>0</v>
      </c>
      <c r="V10" s="2060">
        <v>0</v>
      </c>
      <c r="W10" s="2057">
        <v>0</v>
      </c>
      <c r="X10" s="2136">
        <v>0</v>
      </c>
    </row>
    <row r="11" spans="1:24" ht="11.25" hidden="1" customHeight="1" x14ac:dyDescent="0.25">
      <c r="A11" s="942">
        <v>0</v>
      </c>
      <c r="B11" s="279"/>
      <c r="C11" s="2057"/>
      <c r="D11" s="2057"/>
      <c r="E11" s="2058"/>
      <c r="F11" s="2059"/>
      <c r="G11" s="2057"/>
      <c r="H11" s="2058"/>
      <c r="I11" s="2060"/>
      <c r="J11" s="1930">
        <v>0</v>
      </c>
      <c r="K11" s="755">
        <v>0</v>
      </c>
      <c r="L11" s="1931">
        <v>0</v>
      </c>
      <c r="M11" s="2135"/>
      <c r="N11" s="2059"/>
      <c r="O11" s="2057"/>
      <c r="P11" s="2058"/>
      <c r="Q11" s="757">
        <v>0</v>
      </c>
      <c r="R11" s="2059"/>
      <c r="S11" s="2057"/>
      <c r="T11" s="2060"/>
      <c r="U11" s="2134">
        <v>0</v>
      </c>
      <c r="V11" s="2060"/>
      <c r="W11" s="2057"/>
      <c r="X11" s="2136"/>
    </row>
    <row r="12" spans="1:24" ht="11.25" hidden="1" customHeight="1" x14ac:dyDescent="0.25">
      <c r="A12" s="942">
        <v>0</v>
      </c>
      <c r="B12" s="279"/>
      <c r="C12" s="2057"/>
      <c r="D12" s="2057"/>
      <c r="E12" s="2058"/>
      <c r="F12" s="2059"/>
      <c r="G12" s="2057"/>
      <c r="H12" s="2058"/>
      <c r="I12" s="2060"/>
      <c r="J12" s="1930">
        <v>0</v>
      </c>
      <c r="K12" s="755">
        <v>0</v>
      </c>
      <c r="L12" s="1931">
        <v>0</v>
      </c>
      <c r="M12" s="2135"/>
      <c r="N12" s="2059"/>
      <c r="O12" s="2057"/>
      <c r="P12" s="2058"/>
      <c r="Q12" s="757">
        <v>0</v>
      </c>
      <c r="R12" s="2059"/>
      <c r="S12" s="2057"/>
      <c r="T12" s="2060"/>
      <c r="U12" s="2134">
        <v>0</v>
      </c>
      <c r="V12" s="2060"/>
      <c r="W12" s="2057"/>
      <c r="X12" s="2136"/>
    </row>
    <row r="13" spans="1:24" ht="11.25" hidden="1" customHeight="1" x14ac:dyDescent="0.25">
      <c r="A13" s="942">
        <v>0</v>
      </c>
      <c r="B13" s="279"/>
      <c r="C13" s="2057"/>
      <c r="D13" s="2057"/>
      <c r="E13" s="2058"/>
      <c r="F13" s="2059"/>
      <c r="G13" s="2057"/>
      <c r="H13" s="2058"/>
      <c r="I13" s="2060"/>
      <c r="J13" s="1930">
        <v>0</v>
      </c>
      <c r="K13" s="755">
        <v>0</v>
      </c>
      <c r="L13" s="1931">
        <v>0</v>
      </c>
      <c r="M13" s="2135"/>
      <c r="N13" s="2059"/>
      <c r="O13" s="2057"/>
      <c r="P13" s="2058"/>
      <c r="Q13" s="757">
        <v>0</v>
      </c>
      <c r="R13" s="2059"/>
      <c r="S13" s="2057"/>
      <c r="T13" s="2060"/>
      <c r="U13" s="2134">
        <v>0</v>
      </c>
      <c r="V13" s="2060"/>
      <c r="W13" s="2057"/>
      <c r="X13" s="2136"/>
    </row>
    <row r="14" spans="1:24" ht="11.25" hidden="1" customHeight="1" x14ac:dyDescent="0.25">
      <c r="A14" s="942">
        <v>0</v>
      </c>
      <c r="B14" s="279"/>
      <c r="C14" s="2057"/>
      <c r="D14" s="2057"/>
      <c r="E14" s="2058"/>
      <c r="F14" s="2059"/>
      <c r="G14" s="2057"/>
      <c r="H14" s="2058"/>
      <c r="I14" s="2060"/>
      <c r="J14" s="1930">
        <v>0</v>
      </c>
      <c r="K14" s="755">
        <v>0</v>
      </c>
      <c r="L14" s="1931">
        <v>0</v>
      </c>
      <c r="M14" s="2135"/>
      <c r="N14" s="2059"/>
      <c r="O14" s="2057"/>
      <c r="P14" s="2058"/>
      <c r="Q14" s="757">
        <v>0</v>
      </c>
      <c r="R14" s="2059"/>
      <c r="S14" s="2057"/>
      <c r="T14" s="2060"/>
      <c r="U14" s="2134">
        <v>0</v>
      </c>
      <c r="V14" s="2060"/>
      <c r="W14" s="2057"/>
      <c r="X14" s="2136"/>
    </row>
    <row r="15" spans="1:24" ht="11.25" hidden="1" customHeight="1" x14ac:dyDescent="0.25">
      <c r="A15" s="942">
        <v>0</v>
      </c>
      <c r="B15" s="279"/>
      <c r="C15" s="2057"/>
      <c r="D15" s="2057"/>
      <c r="E15" s="2058"/>
      <c r="F15" s="2059"/>
      <c r="G15" s="2057"/>
      <c r="H15" s="2058"/>
      <c r="I15" s="2060"/>
      <c r="J15" s="1930">
        <v>0</v>
      </c>
      <c r="K15" s="755">
        <v>0</v>
      </c>
      <c r="L15" s="1931">
        <v>0</v>
      </c>
      <c r="M15" s="2135"/>
      <c r="N15" s="2059"/>
      <c r="O15" s="2057"/>
      <c r="P15" s="2058"/>
      <c r="Q15" s="757">
        <v>0</v>
      </c>
      <c r="R15" s="2059"/>
      <c r="S15" s="2057"/>
      <c r="T15" s="2060"/>
      <c r="U15" s="2134">
        <v>0</v>
      </c>
      <c r="V15" s="2060"/>
      <c r="W15" s="2057"/>
      <c r="X15" s="2136"/>
    </row>
    <row r="16" spans="1:24" ht="11.25" hidden="1" customHeight="1" x14ac:dyDescent="0.25">
      <c r="A16" s="942">
        <v>0</v>
      </c>
      <c r="B16" s="279"/>
      <c r="C16" s="2057"/>
      <c r="D16" s="2057"/>
      <c r="E16" s="2058"/>
      <c r="F16" s="2059"/>
      <c r="G16" s="2057"/>
      <c r="H16" s="2058"/>
      <c r="I16" s="2060"/>
      <c r="J16" s="1930">
        <v>0</v>
      </c>
      <c r="K16" s="755">
        <v>0</v>
      </c>
      <c r="L16" s="1931">
        <v>0</v>
      </c>
      <c r="M16" s="1264"/>
      <c r="N16" s="2059"/>
      <c r="O16" s="2057"/>
      <c r="P16" s="2058"/>
      <c r="Q16" s="757">
        <v>0</v>
      </c>
      <c r="R16" s="2059"/>
      <c r="S16" s="2057"/>
      <c r="T16" s="2060"/>
      <c r="U16" s="2134">
        <v>0</v>
      </c>
      <c r="V16" s="2060"/>
      <c r="W16" s="2057"/>
      <c r="X16" s="2136"/>
    </row>
    <row r="17" spans="1:24" ht="15" customHeight="1" x14ac:dyDescent="0.25">
      <c r="A17" s="941" t="s">
        <v>2375</v>
      </c>
      <c r="B17" s="785"/>
      <c r="C17" s="755">
        <v>0</v>
      </c>
      <c r="D17" s="755">
        <v>0</v>
      </c>
      <c r="E17" s="758">
        <v>0</v>
      </c>
      <c r="F17" s="757">
        <v>0</v>
      </c>
      <c r="G17" s="755">
        <v>0</v>
      </c>
      <c r="H17" s="758">
        <v>0</v>
      </c>
      <c r="I17" s="756">
        <v>0</v>
      </c>
      <c r="J17" s="1930">
        <v>0</v>
      </c>
      <c r="K17" s="755">
        <v>0</v>
      </c>
      <c r="L17" s="1931">
        <v>0</v>
      </c>
      <c r="M17" s="2137"/>
      <c r="N17" s="757">
        <v>0</v>
      </c>
      <c r="O17" s="755">
        <v>0</v>
      </c>
      <c r="P17" s="758">
        <v>0</v>
      </c>
      <c r="Q17" s="757">
        <v>0</v>
      </c>
      <c r="R17" s="757">
        <v>0</v>
      </c>
      <c r="S17" s="755">
        <v>0</v>
      </c>
      <c r="T17" s="2133">
        <v>0</v>
      </c>
      <c r="U17" s="2134">
        <v>0</v>
      </c>
      <c r="V17" s="2138">
        <v>0</v>
      </c>
      <c r="W17" s="755">
        <v>0</v>
      </c>
      <c r="X17" s="1931">
        <v>0</v>
      </c>
    </row>
    <row r="18" spans="1:24" ht="11.25" customHeight="1" x14ac:dyDescent="0.25">
      <c r="A18" s="942" t="s">
        <v>2320</v>
      </c>
      <c r="B18" s="279"/>
      <c r="C18" s="2057">
        <v>0</v>
      </c>
      <c r="D18" s="2057">
        <v>0</v>
      </c>
      <c r="E18" s="2058">
        <v>0</v>
      </c>
      <c r="F18" s="2059">
        <v>0</v>
      </c>
      <c r="G18" s="2057">
        <v>0</v>
      </c>
      <c r="H18" s="2058">
        <v>0</v>
      </c>
      <c r="I18" s="2060">
        <v>0</v>
      </c>
      <c r="J18" s="1930">
        <v>0</v>
      </c>
      <c r="K18" s="755">
        <v>0</v>
      </c>
      <c r="L18" s="1931">
        <v>0</v>
      </c>
      <c r="M18" s="2135"/>
      <c r="N18" s="2059">
        <v>0</v>
      </c>
      <c r="O18" s="2057">
        <v>0</v>
      </c>
      <c r="P18" s="2058">
        <v>0</v>
      </c>
      <c r="Q18" s="757">
        <v>0</v>
      </c>
      <c r="R18" s="2059">
        <v>0</v>
      </c>
      <c r="S18" s="2057">
        <v>0</v>
      </c>
      <c r="T18" s="2060">
        <v>0</v>
      </c>
      <c r="U18" s="2134">
        <v>0</v>
      </c>
      <c r="V18" s="2060">
        <v>0</v>
      </c>
      <c r="W18" s="2057">
        <v>0</v>
      </c>
      <c r="X18" s="2136">
        <v>0</v>
      </c>
    </row>
    <row r="19" spans="1:24" ht="11.25" customHeight="1" x14ac:dyDescent="0.25">
      <c r="A19" s="942" t="s">
        <v>2321</v>
      </c>
      <c r="B19" s="279"/>
      <c r="C19" s="2057">
        <v>0</v>
      </c>
      <c r="D19" s="2057">
        <v>0</v>
      </c>
      <c r="E19" s="2058">
        <v>0</v>
      </c>
      <c r="F19" s="2059">
        <v>0</v>
      </c>
      <c r="G19" s="2057">
        <v>0</v>
      </c>
      <c r="H19" s="2058">
        <v>0</v>
      </c>
      <c r="I19" s="2060">
        <v>0</v>
      </c>
      <c r="J19" s="1930">
        <v>0</v>
      </c>
      <c r="K19" s="755">
        <v>0</v>
      </c>
      <c r="L19" s="1931">
        <v>0</v>
      </c>
      <c r="M19" s="2135"/>
      <c r="N19" s="2059">
        <v>0</v>
      </c>
      <c r="O19" s="2057">
        <v>0</v>
      </c>
      <c r="P19" s="2058">
        <v>0</v>
      </c>
      <c r="Q19" s="757">
        <v>0</v>
      </c>
      <c r="R19" s="2059">
        <v>0</v>
      </c>
      <c r="S19" s="2057">
        <v>0</v>
      </c>
      <c r="T19" s="2060">
        <v>0</v>
      </c>
      <c r="U19" s="2134">
        <v>0</v>
      </c>
      <c r="V19" s="2060">
        <v>0</v>
      </c>
      <c r="W19" s="2057">
        <v>0</v>
      </c>
      <c r="X19" s="2136">
        <v>0</v>
      </c>
    </row>
    <row r="20" spans="1:24" ht="11.25" customHeight="1" x14ac:dyDescent="0.25">
      <c r="A20" s="942" t="s">
        <v>2322</v>
      </c>
      <c r="B20" s="279"/>
      <c r="C20" s="2057">
        <v>0</v>
      </c>
      <c r="D20" s="2057">
        <v>0</v>
      </c>
      <c r="E20" s="2058">
        <v>0</v>
      </c>
      <c r="F20" s="2059">
        <v>0</v>
      </c>
      <c r="G20" s="2057">
        <v>0</v>
      </c>
      <c r="H20" s="2058">
        <v>0</v>
      </c>
      <c r="I20" s="2060">
        <v>0</v>
      </c>
      <c r="J20" s="1930">
        <v>0</v>
      </c>
      <c r="K20" s="755">
        <v>0</v>
      </c>
      <c r="L20" s="1931">
        <v>0</v>
      </c>
      <c r="M20" s="2135"/>
      <c r="N20" s="2059">
        <v>0</v>
      </c>
      <c r="O20" s="2057">
        <v>0</v>
      </c>
      <c r="P20" s="2058">
        <v>0</v>
      </c>
      <c r="Q20" s="757">
        <v>0</v>
      </c>
      <c r="R20" s="2059">
        <v>0</v>
      </c>
      <c r="S20" s="2057">
        <v>0</v>
      </c>
      <c r="T20" s="2060">
        <v>0</v>
      </c>
      <c r="U20" s="2134">
        <v>0</v>
      </c>
      <c r="V20" s="2060">
        <v>0</v>
      </c>
      <c r="W20" s="2057">
        <v>0</v>
      </c>
      <c r="X20" s="2136">
        <v>0</v>
      </c>
    </row>
    <row r="21" spans="1:24" ht="11.25" customHeight="1" x14ac:dyDescent="0.25">
      <c r="A21" s="942" t="s">
        <v>2323</v>
      </c>
      <c r="B21" s="279"/>
      <c r="C21" s="2057">
        <v>0</v>
      </c>
      <c r="D21" s="2057">
        <v>0</v>
      </c>
      <c r="E21" s="2058">
        <v>0</v>
      </c>
      <c r="F21" s="2059">
        <v>0</v>
      </c>
      <c r="G21" s="2057">
        <v>0</v>
      </c>
      <c r="H21" s="2058">
        <v>0</v>
      </c>
      <c r="I21" s="2060">
        <v>0</v>
      </c>
      <c r="J21" s="1930">
        <v>0</v>
      </c>
      <c r="K21" s="755">
        <v>0</v>
      </c>
      <c r="L21" s="1931">
        <v>0</v>
      </c>
      <c r="M21" s="2135"/>
      <c r="N21" s="2059">
        <v>0</v>
      </c>
      <c r="O21" s="2057">
        <v>0</v>
      </c>
      <c r="P21" s="2058">
        <v>0</v>
      </c>
      <c r="Q21" s="757">
        <v>0</v>
      </c>
      <c r="R21" s="2059">
        <v>0</v>
      </c>
      <c r="S21" s="2057">
        <v>0</v>
      </c>
      <c r="T21" s="2060">
        <v>0</v>
      </c>
      <c r="U21" s="2134">
        <v>0</v>
      </c>
      <c r="V21" s="2060">
        <v>0</v>
      </c>
      <c r="W21" s="2057">
        <v>0</v>
      </c>
      <c r="X21" s="2136">
        <v>0</v>
      </c>
    </row>
    <row r="22" spans="1:24" ht="11.25" customHeight="1" x14ac:dyDescent="0.25">
      <c r="A22" s="942" t="s">
        <v>2324</v>
      </c>
      <c r="B22" s="279"/>
      <c r="C22" s="2057">
        <v>0</v>
      </c>
      <c r="D22" s="2057">
        <v>0</v>
      </c>
      <c r="E22" s="2058">
        <v>0</v>
      </c>
      <c r="F22" s="2059">
        <v>0</v>
      </c>
      <c r="G22" s="2057">
        <v>0</v>
      </c>
      <c r="H22" s="2058">
        <v>0</v>
      </c>
      <c r="I22" s="2060">
        <v>0</v>
      </c>
      <c r="J22" s="1930">
        <v>0</v>
      </c>
      <c r="K22" s="755">
        <v>0</v>
      </c>
      <c r="L22" s="1931">
        <v>0</v>
      </c>
      <c r="M22" s="2135"/>
      <c r="N22" s="2059">
        <v>0</v>
      </c>
      <c r="O22" s="2057">
        <v>0</v>
      </c>
      <c r="P22" s="2058">
        <v>0</v>
      </c>
      <c r="Q22" s="757">
        <v>0</v>
      </c>
      <c r="R22" s="2059">
        <v>0</v>
      </c>
      <c r="S22" s="2057">
        <v>0</v>
      </c>
      <c r="T22" s="2060">
        <v>0</v>
      </c>
      <c r="U22" s="2134">
        <v>0</v>
      </c>
      <c r="V22" s="2060">
        <v>0</v>
      </c>
      <c r="W22" s="2057">
        <v>0</v>
      </c>
      <c r="X22" s="2136">
        <v>0</v>
      </c>
    </row>
    <row r="23" spans="1:24" ht="11.25" customHeight="1" x14ac:dyDescent="0.25">
      <c r="A23" s="942" t="s">
        <v>2325</v>
      </c>
      <c r="B23" s="279"/>
      <c r="C23" s="2057">
        <v>0</v>
      </c>
      <c r="D23" s="2057">
        <v>0</v>
      </c>
      <c r="E23" s="2058">
        <v>0</v>
      </c>
      <c r="F23" s="2059">
        <v>0</v>
      </c>
      <c r="G23" s="2057">
        <v>0</v>
      </c>
      <c r="H23" s="2058">
        <v>0</v>
      </c>
      <c r="I23" s="2060">
        <v>0</v>
      </c>
      <c r="J23" s="1930">
        <v>0</v>
      </c>
      <c r="K23" s="755">
        <v>0</v>
      </c>
      <c r="L23" s="1931">
        <v>0</v>
      </c>
      <c r="M23" s="2135"/>
      <c r="N23" s="2059">
        <v>0</v>
      </c>
      <c r="O23" s="2057">
        <v>0</v>
      </c>
      <c r="P23" s="2058">
        <v>0</v>
      </c>
      <c r="Q23" s="757">
        <v>0</v>
      </c>
      <c r="R23" s="2059">
        <v>0</v>
      </c>
      <c r="S23" s="2057">
        <v>0</v>
      </c>
      <c r="T23" s="2060">
        <v>0</v>
      </c>
      <c r="U23" s="2134">
        <v>0</v>
      </c>
      <c r="V23" s="2060">
        <v>0</v>
      </c>
      <c r="W23" s="2057">
        <v>0</v>
      </c>
      <c r="X23" s="2136">
        <v>0</v>
      </c>
    </row>
    <row r="24" spans="1:24" ht="11.25" hidden="1" customHeight="1" x14ac:dyDescent="0.25">
      <c r="A24" s="942">
        <v>0</v>
      </c>
      <c r="B24" s="279"/>
      <c r="C24" s="2057"/>
      <c r="D24" s="2057"/>
      <c r="E24" s="2058"/>
      <c r="F24" s="2059"/>
      <c r="G24" s="2057"/>
      <c r="H24" s="2058"/>
      <c r="I24" s="2060"/>
      <c r="J24" s="1930">
        <v>0</v>
      </c>
      <c r="K24" s="755">
        <v>0</v>
      </c>
      <c r="L24" s="1931">
        <v>0</v>
      </c>
      <c r="M24" s="2135"/>
      <c r="N24" s="2059"/>
      <c r="O24" s="2057"/>
      <c r="P24" s="2058"/>
      <c r="Q24" s="757">
        <v>0</v>
      </c>
      <c r="R24" s="2059"/>
      <c r="S24" s="2057"/>
      <c r="T24" s="2060"/>
      <c r="U24" s="2134">
        <v>0</v>
      </c>
      <c r="V24" s="2060"/>
      <c r="W24" s="2057"/>
      <c r="X24" s="2136"/>
    </row>
    <row r="25" spans="1:24" ht="11.25" hidden="1" customHeight="1" x14ac:dyDescent="0.25">
      <c r="A25" s="942">
        <v>0</v>
      </c>
      <c r="B25" s="279"/>
      <c r="C25" s="2057"/>
      <c r="D25" s="2057"/>
      <c r="E25" s="2058"/>
      <c r="F25" s="2059"/>
      <c r="G25" s="2057"/>
      <c r="H25" s="2058"/>
      <c r="I25" s="2060"/>
      <c r="J25" s="1930">
        <v>0</v>
      </c>
      <c r="K25" s="755">
        <v>0</v>
      </c>
      <c r="L25" s="1931">
        <v>0</v>
      </c>
      <c r="M25" s="2135"/>
      <c r="N25" s="2059"/>
      <c r="O25" s="2057"/>
      <c r="P25" s="2058"/>
      <c r="Q25" s="757">
        <v>0</v>
      </c>
      <c r="R25" s="2059"/>
      <c r="S25" s="2057"/>
      <c r="T25" s="2060"/>
      <c r="U25" s="2134">
        <v>0</v>
      </c>
      <c r="V25" s="2060"/>
      <c r="W25" s="2057"/>
      <c r="X25" s="2136"/>
    </row>
    <row r="26" spans="1:24" ht="11.25" hidden="1" customHeight="1" x14ac:dyDescent="0.25">
      <c r="A26" s="942">
        <v>0</v>
      </c>
      <c r="B26" s="279"/>
      <c r="C26" s="2057"/>
      <c r="D26" s="2057"/>
      <c r="E26" s="2058"/>
      <c r="F26" s="2059"/>
      <c r="G26" s="2057"/>
      <c r="H26" s="2058"/>
      <c r="I26" s="2060"/>
      <c r="J26" s="1930">
        <v>0</v>
      </c>
      <c r="K26" s="755">
        <v>0</v>
      </c>
      <c r="L26" s="1931">
        <v>0</v>
      </c>
      <c r="M26" s="2135"/>
      <c r="N26" s="2059"/>
      <c r="O26" s="2057"/>
      <c r="P26" s="2058"/>
      <c r="Q26" s="757">
        <v>0</v>
      </c>
      <c r="R26" s="2059"/>
      <c r="S26" s="2057"/>
      <c r="T26" s="2060"/>
      <c r="U26" s="2134">
        <v>0</v>
      </c>
      <c r="V26" s="2060"/>
      <c r="W26" s="2057"/>
      <c r="X26" s="2136"/>
    </row>
    <row r="27" spans="1:24" ht="11.25" hidden="1" customHeight="1" x14ac:dyDescent="0.25">
      <c r="A27" s="942">
        <v>0</v>
      </c>
      <c r="B27" s="279"/>
      <c r="C27" s="2057"/>
      <c r="D27" s="2057"/>
      <c r="E27" s="2058"/>
      <c r="F27" s="2059"/>
      <c r="G27" s="2057"/>
      <c r="H27" s="2058"/>
      <c r="I27" s="2060"/>
      <c r="J27" s="1930">
        <v>0</v>
      </c>
      <c r="K27" s="755">
        <v>0</v>
      </c>
      <c r="L27" s="1931">
        <v>0</v>
      </c>
      <c r="M27" s="2135"/>
      <c r="N27" s="2059"/>
      <c r="O27" s="2057"/>
      <c r="P27" s="2058"/>
      <c r="Q27" s="757">
        <v>0</v>
      </c>
      <c r="R27" s="2059"/>
      <c r="S27" s="2057"/>
      <c r="T27" s="2060"/>
      <c r="U27" s="2134">
        <v>0</v>
      </c>
      <c r="V27" s="2060"/>
      <c r="W27" s="2057"/>
      <c r="X27" s="2136"/>
    </row>
    <row r="28" spans="1:24" ht="15" customHeight="1" x14ac:dyDescent="0.25">
      <c r="A28" s="941" t="s">
        <v>2376</v>
      </c>
      <c r="B28" s="785"/>
      <c r="C28" s="755">
        <v>0</v>
      </c>
      <c r="D28" s="755">
        <v>0</v>
      </c>
      <c r="E28" s="758">
        <v>0</v>
      </c>
      <c r="F28" s="757">
        <v>0</v>
      </c>
      <c r="G28" s="755">
        <v>0</v>
      </c>
      <c r="H28" s="758">
        <v>0</v>
      </c>
      <c r="I28" s="756">
        <v>0</v>
      </c>
      <c r="J28" s="1930">
        <v>0</v>
      </c>
      <c r="K28" s="755">
        <v>0</v>
      </c>
      <c r="L28" s="1931">
        <v>0</v>
      </c>
      <c r="M28" s="2135"/>
      <c r="N28" s="757">
        <v>0</v>
      </c>
      <c r="O28" s="755">
        <v>0</v>
      </c>
      <c r="P28" s="758">
        <v>0</v>
      </c>
      <c r="Q28" s="757">
        <v>0</v>
      </c>
      <c r="R28" s="757">
        <v>0</v>
      </c>
      <c r="S28" s="755">
        <v>0</v>
      </c>
      <c r="T28" s="2133">
        <v>0</v>
      </c>
      <c r="U28" s="2134">
        <v>0</v>
      </c>
      <c r="V28" s="2138">
        <v>0</v>
      </c>
      <c r="W28" s="755">
        <v>0</v>
      </c>
      <c r="X28" s="1931">
        <v>0</v>
      </c>
    </row>
    <row r="29" spans="1:24" ht="11.25" customHeight="1" x14ac:dyDescent="0.25">
      <c r="A29" s="942" t="s">
        <v>2326</v>
      </c>
      <c r="B29" s="279"/>
      <c r="C29" s="2057">
        <v>0</v>
      </c>
      <c r="D29" s="2057">
        <v>0</v>
      </c>
      <c r="E29" s="2058">
        <v>0</v>
      </c>
      <c r="F29" s="2059">
        <v>0</v>
      </c>
      <c r="G29" s="2057">
        <v>0</v>
      </c>
      <c r="H29" s="2058">
        <v>0</v>
      </c>
      <c r="I29" s="2060">
        <v>0</v>
      </c>
      <c r="J29" s="1930">
        <v>0</v>
      </c>
      <c r="K29" s="755">
        <v>0</v>
      </c>
      <c r="L29" s="1931">
        <v>0</v>
      </c>
      <c r="M29" s="2135"/>
      <c r="N29" s="2059"/>
      <c r="O29" s="2057"/>
      <c r="P29" s="2058"/>
      <c r="Q29" s="757">
        <v>0</v>
      </c>
      <c r="R29" s="2059"/>
      <c r="S29" s="2057"/>
      <c r="T29" s="2060"/>
      <c r="U29" s="2134">
        <v>0</v>
      </c>
      <c r="V29" s="2060"/>
      <c r="W29" s="2057"/>
      <c r="X29" s="2136"/>
    </row>
    <row r="30" spans="1:24" ht="11.25" hidden="1" customHeight="1" x14ac:dyDescent="0.25">
      <c r="A30" s="942">
        <v>0</v>
      </c>
      <c r="B30" s="279"/>
      <c r="C30" s="2057"/>
      <c r="D30" s="2057"/>
      <c r="E30" s="2058"/>
      <c r="F30" s="2059"/>
      <c r="G30" s="2057"/>
      <c r="H30" s="2058"/>
      <c r="I30" s="2060"/>
      <c r="J30" s="1930">
        <v>0</v>
      </c>
      <c r="K30" s="755">
        <v>0</v>
      </c>
      <c r="L30" s="1931">
        <v>0</v>
      </c>
      <c r="M30" s="2135"/>
      <c r="N30" s="2059"/>
      <c r="O30" s="2057"/>
      <c r="P30" s="2058"/>
      <c r="Q30" s="757">
        <v>0</v>
      </c>
      <c r="R30" s="2059"/>
      <c r="S30" s="2057"/>
      <c r="T30" s="2060"/>
      <c r="U30" s="2134">
        <v>0</v>
      </c>
      <c r="V30" s="2060"/>
      <c r="W30" s="2057"/>
      <c r="X30" s="2136"/>
    </row>
    <row r="31" spans="1:24" ht="11.25" hidden="1" customHeight="1" x14ac:dyDescent="0.25">
      <c r="A31" s="942">
        <v>0</v>
      </c>
      <c r="B31" s="279"/>
      <c r="C31" s="2057"/>
      <c r="D31" s="2057"/>
      <c r="E31" s="2058"/>
      <c r="F31" s="2059"/>
      <c r="G31" s="2057"/>
      <c r="H31" s="2058"/>
      <c r="I31" s="2060"/>
      <c r="J31" s="1930">
        <v>0</v>
      </c>
      <c r="K31" s="755">
        <v>0</v>
      </c>
      <c r="L31" s="1931">
        <v>0</v>
      </c>
      <c r="M31" s="2135"/>
      <c r="N31" s="2059"/>
      <c r="O31" s="2057"/>
      <c r="P31" s="2058"/>
      <c r="Q31" s="757">
        <v>0</v>
      </c>
      <c r="R31" s="2059"/>
      <c r="S31" s="2057"/>
      <c r="T31" s="2060"/>
      <c r="U31" s="2134">
        <v>0</v>
      </c>
      <c r="V31" s="2060"/>
      <c r="W31" s="2057"/>
      <c r="X31" s="2136"/>
    </row>
    <row r="32" spans="1:24" ht="11.25" hidden="1" customHeight="1" x14ac:dyDescent="0.25">
      <c r="A32" s="942">
        <v>0</v>
      </c>
      <c r="B32" s="279"/>
      <c r="C32" s="2057"/>
      <c r="D32" s="2057"/>
      <c r="E32" s="2058"/>
      <c r="F32" s="2059"/>
      <c r="G32" s="2057"/>
      <c r="H32" s="2058"/>
      <c r="I32" s="2060"/>
      <c r="J32" s="1930">
        <v>0</v>
      </c>
      <c r="K32" s="755">
        <v>0</v>
      </c>
      <c r="L32" s="1931">
        <v>0</v>
      </c>
      <c r="M32" s="2135"/>
      <c r="N32" s="2059"/>
      <c r="O32" s="2057"/>
      <c r="P32" s="2058"/>
      <c r="Q32" s="757">
        <v>0</v>
      </c>
      <c r="R32" s="2059"/>
      <c r="S32" s="2057"/>
      <c r="T32" s="2060"/>
      <c r="U32" s="2134">
        <v>0</v>
      </c>
      <c r="V32" s="2060"/>
      <c r="W32" s="2057"/>
      <c r="X32" s="2136"/>
    </row>
    <row r="33" spans="1:24" ht="11.25" hidden="1" customHeight="1" x14ac:dyDescent="0.25">
      <c r="A33" s="942">
        <v>0</v>
      </c>
      <c r="B33" s="279"/>
      <c r="C33" s="2057"/>
      <c r="D33" s="2057"/>
      <c r="E33" s="2058"/>
      <c r="F33" s="2059"/>
      <c r="G33" s="2057"/>
      <c r="H33" s="2058"/>
      <c r="I33" s="2060"/>
      <c r="J33" s="1930">
        <v>0</v>
      </c>
      <c r="K33" s="755">
        <v>0</v>
      </c>
      <c r="L33" s="1931">
        <v>0</v>
      </c>
      <c r="M33" s="2135"/>
      <c r="N33" s="2059"/>
      <c r="O33" s="2057"/>
      <c r="P33" s="2058"/>
      <c r="Q33" s="757">
        <v>0</v>
      </c>
      <c r="R33" s="2059"/>
      <c r="S33" s="2057"/>
      <c r="T33" s="2060"/>
      <c r="U33" s="2134">
        <v>0</v>
      </c>
      <c r="V33" s="2060"/>
      <c r="W33" s="2057"/>
      <c r="X33" s="2136"/>
    </row>
    <row r="34" spans="1:24" ht="11.25" hidden="1" customHeight="1" x14ac:dyDescent="0.25">
      <c r="A34" s="942">
        <v>0</v>
      </c>
      <c r="B34" s="279"/>
      <c r="C34" s="2057"/>
      <c r="D34" s="2057"/>
      <c r="E34" s="2058"/>
      <c r="F34" s="2059"/>
      <c r="G34" s="2057"/>
      <c r="H34" s="2058"/>
      <c r="I34" s="2060"/>
      <c r="J34" s="1930">
        <v>0</v>
      </c>
      <c r="K34" s="755">
        <v>0</v>
      </c>
      <c r="L34" s="1931">
        <v>0</v>
      </c>
      <c r="M34" s="2135"/>
      <c r="N34" s="2059"/>
      <c r="O34" s="2057"/>
      <c r="P34" s="2058"/>
      <c r="Q34" s="757">
        <v>0</v>
      </c>
      <c r="R34" s="2059"/>
      <c r="S34" s="2057"/>
      <c r="T34" s="2060"/>
      <c r="U34" s="2134">
        <v>0</v>
      </c>
      <c r="V34" s="2060"/>
      <c r="W34" s="2057"/>
      <c r="X34" s="2136"/>
    </row>
    <row r="35" spans="1:24" ht="11.25" hidden="1" customHeight="1" x14ac:dyDescent="0.25">
      <c r="A35" s="942">
        <v>0</v>
      </c>
      <c r="B35" s="279"/>
      <c r="C35" s="2057"/>
      <c r="D35" s="2057"/>
      <c r="E35" s="2058"/>
      <c r="F35" s="2059"/>
      <c r="G35" s="2057"/>
      <c r="H35" s="2058"/>
      <c r="I35" s="2060"/>
      <c r="J35" s="1930">
        <v>0</v>
      </c>
      <c r="K35" s="755">
        <v>0</v>
      </c>
      <c r="L35" s="1931">
        <v>0</v>
      </c>
      <c r="M35" s="2135"/>
      <c r="N35" s="2059"/>
      <c r="O35" s="2057"/>
      <c r="P35" s="2058"/>
      <c r="Q35" s="757">
        <v>0</v>
      </c>
      <c r="R35" s="2059"/>
      <c r="S35" s="2057"/>
      <c r="T35" s="2060"/>
      <c r="U35" s="2134">
        <v>0</v>
      </c>
      <c r="V35" s="2060"/>
      <c r="W35" s="2057"/>
      <c r="X35" s="2136"/>
    </row>
    <row r="36" spans="1:24" ht="11.25" hidden="1" customHeight="1" x14ac:dyDescent="0.25">
      <c r="A36" s="942">
        <v>0</v>
      </c>
      <c r="B36" s="279"/>
      <c r="C36" s="2057"/>
      <c r="D36" s="2057"/>
      <c r="E36" s="2058"/>
      <c r="F36" s="2059"/>
      <c r="G36" s="2057"/>
      <c r="H36" s="2058"/>
      <c r="I36" s="2060"/>
      <c r="J36" s="1930">
        <v>0</v>
      </c>
      <c r="K36" s="755">
        <v>0</v>
      </c>
      <c r="L36" s="1931">
        <v>0</v>
      </c>
      <c r="M36" s="2135"/>
      <c r="N36" s="2059"/>
      <c r="O36" s="2057"/>
      <c r="P36" s="2058"/>
      <c r="Q36" s="757">
        <v>0</v>
      </c>
      <c r="R36" s="2059"/>
      <c r="S36" s="2057"/>
      <c r="T36" s="2060"/>
      <c r="U36" s="2134">
        <v>0</v>
      </c>
      <c r="V36" s="2060"/>
      <c r="W36" s="2057"/>
      <c r="X36" s="2136"/>
    </row>
    <row r="37" spans="1:24" ht="11.25" hidden="1" customHeight="1" x14ac:dyDescent="0.25">
      <c r="A37" s="942">
        <v>0</v>
      </c>
      <c r="B37" s="279"/>
      <c r="C37" s="2057"/>
      <c r="D37" s="2057"/>
      <c r="E37" s="2058"/>
      <c r="F37" s="2059"/>
      <c r="G37" s="2057"/>
      <c r="H37" s="2058"/>
      <c r="I37" s="2060"/>
      <c r="J37" s="1930">
        <v>0</v>
      </c>
      <c r="K37" s="755">
        <v>0</v>
      </c>
      <c r="L37" s="1931">
        <v>0</v>
      </c>
      <c r="M37" s="2135"/>
      <c r="N37" s="2059"/>
      <c r="O37" s="2057"/>
      <c r="P37" s="2058"/>
      <c r="Q37" s="757">
        <v>0</v>
      </c>
      <c r="R37" s="2059"/>
      <c r="S37" s="2057"/>
      <c r="T37" s="2060"/>
      <c r="U37" s="2134">
        <v>0</v>
      </c>
      <c r="V37" s="2060"/>
      <c r="W37" s="2057"/>
      <c r="X37" s="2136"/>
    </row>
    <row r="38" spans="1:24" ht="11.25" hidden="1" customHeight="1" x14ac:dyDescent="0.25">
      <c r="A38" s="942">
        <v>0</v>
      </c>
      <c r="B38" s="279"/>
      <c r="C38" s="2057"/>
      <c r="D38" s="2057"/>
      <c r="E38" s="2058"/>
      <c r="F38" s="2059"/>
      <c r="G38" s="2057"/>
      <c r="H38" s="2058"/>
      <c r="I38" s="2060"/>
      <c r="J38" s="1930">
        <v>0</v>
      </c>
      <c r="K38" s="755">
        <v>0</v>
      </c>
      <c r="L38" s="1931">
        <v>0</v>
      </c>
      <c r="M38" s="2135"/>
      <c r="N38" s="2059"/>
      <c r="O38" s="2057"/>
      <c r="P38" s="2058"/>
      <c r="Q38" s="757">
        <v>0</v>
      </c>
      <c r="R38" s="2059"/>
      <c r="S38" s="2057"/>
      <c r="T38" s="2060"/>
      <c r="U38" s="2134">
        <v>0</v>
      </c>
      <c r="V38" s="2060"/>
      <c r="W38" s="2057"/>
      <c r="X38" s="2136"/>
    </row>
    <row r="39" spans="1:24" ht="15" customHeight="1" x14ac:dyDescent="0.25">
      <c r="A39" s="941" t="s">
        <v>2377</v>
      </c>
      <c r="B39" s="785"/>
      <c r="C39" s="755">
        <v>0</v>
      </c>
      <c r="D39" s="755">
        <v>0</v>
      </c>
      <c r="E39" s="758">
        <v>0</v>
      </c>
      <c r="F39" s="2139">
        <v>0</v>
      </c>
      <c r="G39" s="755">
        <v>0</v>
      </c>
      <c r="H39" s="758">
        <v>0</v>
      </c>
      <c r="I39" s="756">
        <v>0</v>
      </c>
      <c r="J39" s="1930">
        <v>0</v>
      </c>
      <c r="K39" s="755">
        <v>0</v>
      </c>
      <c r="L39" s="1931">
        <v>0</v>
      </c>
      <c r="M39" s="2135"/>
      <c r="N39" s="757">
        <v>0</v>
      </c>
      <c r="O39" s="755">
        <v>0</v>
      </c>
      <c r="P39" s="2140">
        <v>0</v>
      </c>
      <c r="Q39" s="757">
        <v>0</v>
      </c>
      <c r="R39" s="757">
        <v>0</v>
      </c>
      <c r="S39" s="755">
        <v>0</v>
      </c>
      <c r="T39" s="2133">
        <v>0</v>
      </c>
      <c r="U39" s="2134">
        <v>0</v>
      </c>
      <c r="V39" s="2138">
        <v>0</v>
      </c>
      <c r="W39" s="755">
        <v>0</v>
      </c>
      <c r="X39" s="1931">
        <v>0</v>
      </c>
    </row>
    <row r="40" spans="1:24" ht="11.25" customHeight="1" x14ac:dyDescent="0.25">
      <c r="A40" s="942" t="s">
        <v>2327</v>
      </c>
      <c r="B40" s="279"/>
      <c r="C40" s="2057">
        <v>0</v>
      </c>
      <c r="D40" s="2057">
        <v>0</v>
      </c>
      <c r="E40" s="2058">
        <v>0</v>
      </c>
      <c r="F40" s="2059">
        <v>0</v>
      </c>
      <c r="G40" s="2057">
        <v>0</v>
      </c>
      <c r="H40" s="2058">
        <v>0</v>
      </c>
      <c r="I40" s="2060">
        <v>0</v>
      </c>
      <c r="J40" s="1930">
        <v>0</v>
      </c>
      <c r="K40" s="755">
        <v>0</v>
      </c>
      <c r="L40" s="1931">
        <v>0</v>
      </c>
      <c r="M40" s="2135"/>
      <c r="N40" s="2059">
        <v>0</v>
      </c>
      <c r="O40" s="2057">
        <v>0</v>
      </c>
      <c r="P40" s="2058">
        <v>0</v>
      </c>
      <c r="Q40" s="757">
        <v>0</v>
      </c>
      <c r="R40" s="2059">
        <v>0</v>
      </c>
      <c r="S40" s="2057">
        <v>0</v>
      </c>
      <c r="T40" s="2060">
        <v>0</v>
      </c>
      <c r="U40" s="2134">
        <v>0</v>
      </c>
      <c r="V40" s="2060">
        <v>0</v>
      </c>
      <c r="W40" s="2057">
        <v>0</v>
      </c>
      <c r="X40" s="2136">
        <v>0</v>
      </c>
    </row>
    <row r="41" spans="1:24" ht="11.25" customHeight="1" x14ac:dyDescent="0.25">
      <c r="A41" s="942" t="s">
        <v>2328</v>
      </c>
      <c r="B41" s="279"/>
      <c r="C41" s="2057">
        <v>0</v>
      </c>
      <c r="D41" s="2057">
        <v>0</v>
      </c>
      <c r="E41" s="2058">
        <v>0</v>
      </c>
      <c r="F41" s="2059">
        <v>0</v>
      </c>
      <c r="G41" s="2057">
        <v>0</v>
      </c>
      <c r="H41" s="2058">
        <v>0</v>
      </c>
      <c r="I41" s="2060">
        <v>0</v>
      </c>
      <c r="J41" s="1930">
        <v>0</v>
      </c>
      <c r="K41" s="755">
        <v>0</v>
      </c>
      <c r="L41" s="1931">
        <v>0</v>
      </c>
      <c r="M41" s="2135"/>
      <c r="N41" s="2059">
        <v>0</v>
      </c>
      <c r="O41" s="2057">
        <v>0</v>
      </c>
      <c r="P41" s="2058">
        <v>0</v>
      </c>
      <c r="Q41" s="757">
        <v>0</v>
      </c>
      <c r="R41" s="2059">
        <v>0</v>
      </c>
      <c r="S41" s="2057">
        <v>0</v>
      </c>
      <c r="T41" s="2060">
        <v>0</v>
      </c>
      <c r="U41" s="2134">
        <v>0</v>
      </c>
      <c r="V41" s="2060">
        <v>0</v>
      </c>
      <c r="W41" s="2057">
        <v>0</v>
      </c>
      <c r="X41" s="2136">
        <v>0</v>
      </c>
    </row>
    <row r="42" spans="1:24" ht="11.25" customHeight="1" x14ac:dyDescent="0.25">
      <c r="A42" s="942" t="s">
        <v>2329</v>
      </c>
      <c r="B42" s="279"/>
      <c r="C42" s="2057">
        <v>0</v>
      </c>
      <c r="D42" s="2057">
        <v>0</v>
      </c>
      <c r="E42" s="2058">
        <v>0</v>
      </c>
      <c r="F42" s="2059">
        <v>0</v>
      </c>
      <c r="G42" s="2057">
        <v>0</v>
      </c>
      <c r="H42" s="2058">
        <v>0</v>
      </c>
      <c r="I42" s="2060">
        <v>0</v>
      </c>
      <c r="J42" s="1930">
        <v>0</v>
      </c>
      <c r="K42" s="755">
        <v>0</v>
      </c>
      <c r="L42" s="1931">
        <v>0</v>
      </c>
      <c r="M42" s="2135"/>
      <c r="N42" s="2059">
        <v>0</v>
      </c>
      <c r="O42" s="2057">
        <v>0</v>
      </c>
      <c r="P42" s="2058">
        <v>0</v>
      </c>
      <c r="Q42" s="757">
        <v>0</v>
      </c>
      <c r="R42" s="2059">
        <v>0</v>
      </c>
      <c r="S42" s="2057">
        <v>0</v>
      </c>
      <c r="T42" s="2060">
        <v>0</v>
      </c>
      <c r="U42" s="2134">
        <v>0</v>
      </c>
      <c r="V42" s="2060">
        <v>0</v>
      </c>
      <c r="W42" s="2057">
        <v>0</v>
      </c>
      <c r="X42" s="2136">
        <v>0</v>
      </c>
    </row>
    <row r="43" spans="1:24" ht="11.25" hidden="1" customHeight="1" x14ac:dyDescent="0.25">
      <c r="A43" s="942">
        <v>0</v>
      </c>
      <c r="B43" s="279"/>
      <c r="C43" s="2057"/>
      <c r="D43" s="2057"/>
      <c r="E43" s="2058"/>
      <c r="F43" s="2059"/>
      <c r="G43" s="2057"/>
      <c r="H43" s="2058"/>
      <c r="I43" s="2060"/>
      <c r="J43" s="1930">
        <v>0</v>
      </c>
      <c r="K43" s="755">
        <v>0</v>
      </c>
      <c r="L43" s="1931">
        <v>0</v>
      </c>
      <c r="M43" s="2135"/>
      <c r="N43" s="2059"/>
      <c r="O43" s="2057"/>
      <c r="P43" s="2058"/>
      <c r="Q43" s="757">
        <v>0</v>
      </c>
      <c r="R43" s="2059"/>
      <c r="S43" s="2057"/>
      <c r="T43" s="2060"/>
      <c r="U43" s="2134">
        <v>0</v>
      </c>
      <c r="V43" s="2060"/>
      <c r="W43" s="2057"/>
      <c r="X43" s="2136"/>
    </row>
    <row r="44" spans="1:24" ht="11.25" hidden="1" customHeight="1" x14ac:dyDescent="0.25">
      <c r="A44" s="942">
        <v>0</v>
      </c>
      <c r="B44" s="279"/>
      <c r="C44" s="2057"/>
      <c r="D44" s="2057"/>
      <c r="E44" s="2058"/>
      <c r="F44" s="2059"/>
      <c r="G44" s="2057"/>
      <c r="H44" s="2058"/>
      <c r="I44" s="2060"/>
      <c r="J44" s="1930">
        <v>0</v>
      </c>
      <c r="K44" s="755">
        <v>0</v>
      </c>
      <c r="L44" s="1931">
        <v>0</v>
      </c>
      <c r="M44" s="2135"/>
      <c r="N44" s="2059"/>
      <c r="O44" s="2057"/>
      <c r="P44" s="2058"/>
      <c r="Q44" s="757">
        <v>0</v>
      </c>
      <c r="R44" s="2059"/>
      <c r="S44" s="2057"/>
      <c r="T44" s="2060"/>
      <c r="U44" s="2134">
        <v>0</v>
      </c>
      <c r="V44" s="2060"/>
      <c r="W44" s="2057"/>
      <c r="X44" s="2136"/>
    </row>
    <row r="45" spans="1:24" ht="11.25" hidden="1" customHeight="1" x14ac:dyDescent="0.25">
      <c r="A45" s="942">
        <v>0</v>
      </c>
      <c r="B45" s="279"/>
      <c r="C45" s="2057"/>
      <c r="D45" s="2057"/>
      <c r="E45" s="2058"/>
      <c r="F45" s="2059"/>
      <c r="G45" s="2057"/>
      <c r="H45" s="2058"/>
      <c r="I45" s="2060"/>
      <c r="J45" s="1930">
        <v>0</v>
      </c>
      <c r="K45" s="755">
        <v>0</v>
      </c>
      <c r="L45" s="1931">
        <v>0</v>
      </c>
      <c r="M45" s="2135"/>
      <c r="N45" s="2059"/>
      <c r="O45" s="2057"/>
      <c r="P45" s="2058"/>
      <c r="Q45" s="757">
        <v>0</v>
      </c>
      <c r="R45" s="2059"/>
      <c r="S45" s="2057"/>
      <c r="T45" s="2060"/>
      <c r="U45" s="2134">
        <v>0</v>
      </c>
      <c r="V45" s="2060"/>
      <c r="W45" s="2057"/>
      <c r="X45" s="2136"/>
    </row>
    <row r="46" spans="1:24" ht="11.25" hidden="1" customHeight="1" x14ac:dyDescent="0.25">
      <c r="A46" s="942">
        <v>0</v>
      </c>
      <c r="B46" s="279"/>
      <c r="C46" s="2057"/>
      <c r="D46" s="2057"/>
      <c r="E46" s="2058"/>
      <c r="F46" s="2059"/>
      <c r="G46" s="2057"/>
      <c r="H46" s="2058"/>
      <c r="I46" s="2060"/>
      <c r="J46" s="1930">
        <v>0</v>
      </c>
      <c r="K46" s="755">
        <v>0</v>
      </c>
      <c r="L46" s="1931">
        <v>0</v>
      </c>
      <c r="M46" s="2135"/>
      <c r="N46" s="2059"/>
      <c r="O46" s="2057"/>
      <c r="P46" s="2058"/>
      <c r="Q46" s="757">
        <v>0</v>
      </c>
      <c r="R46" s="2059"/>
      <c r="S46" s="2057"/>
      <c r="T46" s="2060"/>
      <c r="U46" s="2134">
        <v>0</v>
      </c>
      <c r="V46" s="2060"/>
      <c r="W46" s="2057"/>
      <c r="X46" s="2136"/>
    </row>
    <row r="47" spans="1:24" ht="11.25" hidden="1" customHeight="1" x14ac:dyDescent="0.25">
      <c r="A47" s="942">
        <v>0</v>
      </c>
      <c r="B47" s="279"/>
      <c r="C47" s="2057"/>
      <c r="D47" s="2057"/>
      <c r="E47" s="2058"/>
      <c r="F47" s="2059"/>
      <c r="G47" s="2057"/>
      <c r="H47" s="2058"/>
      <c r="I47" s="2060"/>
      <c r="J47" s="1930">
        <v>0</v>
      </c>
      <c r="K47" s="755">
        <v>0</v>
      </c>
      <c r="L47" s="1931">
        <v>0</v>
      </c>
      <c r="M47" s="2135"/>
      <c r="N47" s="2059"/>
      <c r="O47" s="2057"/>
      <c r="P47" s="2058"/>
      <c r="Q47" s="757">
        <v>0</v>
      </c>
      <c r="R47" s="2059"/>
      <c r="S47" s="2057"/>
      <c r="T47" s="2060"/>
      <c r="U47" s="2134">
        <v>0</v>
      </c>
      <c r="V47" s="2060"/>
      <c r="W47" s="2057"/>
      <c r="X47" s="2136"/>
    </row>
    <row r="48" spans="1:24" ht="11.25" hidden="1" customHeight="1" x14ac:dyDescent="0.25">
      <c r="A48" s="942">
        <v>0</v>
      </c>
      <c r="B48" s="279"/>
      <c r="C48" s="2057"/>
      <c r="D48" s="2057"/>
      <c r="E48" s="2058"/>
      <c r="F48" s="2059"/>
      <c r="G48" s="2057"/>
      <c r="H48" s="2058"/>
      <c r="I48" s="2060"/>
      <c r="J48" s="1930">
        <v>0</v>
      </c>
      <c r="K48" s="755">
        <v>0</v>
      </c>
      <c r="L48" s="1931">
        <v>0</v>
      </c>
      <c r="M48" s="2135"/>
      <c r="N48" s="2059"/>
      <c r="O48" s="2057"/>
      <c r="P48" s="2058"/>
      <c r="Q48" s="757">
        <v>0</v>
      </c>
      <c r="R48" s="2059"/>
      <c r="S48" s="2057"/>
      <c r="T48" s="2060"/>
      <c r="U48" s="2134">
        <v>0</v>
      </c>
      <c r="V48" s="2060"/>
      <c r="W48" s="2057"/>
      <c r="X48" s="2136"/>
    </row>
    <row r="49" spans="1:24" ht="11.25" hidden="1" customHeight="1" x14ac:dyDescent="0.25">
      <c r="A49" s="942">
        <v>0</v>
      </c>
      <c r="B49" s="279"/>
      <c r="C49" s="2057"/>
      <c r="D49" s="2057"/>
      <c r="E49" s="2058"/>
      <c r="F49" s="2059"/>
      <c r="G49" s="2057"/>
      <c r="H49" s="2058"/>
      <c r="I49" s="2060"/>
      <c r="J49" s="1930">
        <v>0</v>
      </c>
      <c r="K49" s="755">
        <v>0</v>
      </c>
      <c r="L49" s="1931">
        <v>0</v>
      </c>
      <c r="M49" s="2135"/>
      <c r="N49" s="2059"/>
      <c r="O49" s="2057"/>
      <c r="P49" s="2058"/>
      <c r="Q49" s="757">
        <v>0</v>
      </c>
      <c r="R49" s="2059"/>
      <c r="S49" s="2057"/>
      <c r="T49" s="2060"/>
      <c r="U49" s="2134">
        <v>0</v>
      </c>
      <c r="V49" s="2060"/>
      <c r="W49" s="2057"/>
      <c r="X49" s="2136"/>
    </row>
    <row r="50" spans="1:24" ht="15" customHeight="1" x14ac:dyDescent="0.25">
      <c r="A50" s="941" t="s">
        <v>2378</v>
      </c>
      <c r="B50" s="785"/>
      <c r="C50" s="755">
        <v>0</v>
      </c>
      <c r="D50" s="755">
        <v>0</v>
      </c>
      <c r="E50" s="758">
        <v>0</v>
      </c>
      <c r="F50" s="757">
        <v>0</v>
      </c>
      <c r="G50" s="755">
        <v>0</v>
      </c>
      <c r="H50" s="758">
        <v>0</v>
      </c>
      <c r="I50" s="756">
        <v>0</v>
      </c>
      <c r="J50" s="1930">
        <v>0</v>
      </c>
      <c r="K50" s="755">
        <v>0</v>
      </c>
      <c r="L50" s="1931">
        <v>0</v>
      </c>
      <c r="M50" s="2135"/>
      <c r="N50" s="757">
        <v>0</v>
      </c>
      <c r="O50" s="755">
        <v>0</v>
      </c>
      <c r="P50" s="758">
        <v>0</v>
      </c>
      <c r="Q50" s="757">
        <v>0</v>
      </c>
      <c r="R50" s="757">
        <v>0</v>
      </c>
      <c r="S50" s="755">
        <v>0</v>
      </c>
      <c r="T50" s="2133">
        <v>0</v>
      </c>
      <c r="U50" s="2134">
        <v>0</v>
      </c>
      <c r="V50" s="2138">
        <v>0</v>
      </c>
      <c r="W50" s="755">
        <v>0</v>
      </c>
      <c r="X50" s="1931">
        <v>0</v>
      </c>
    </row>
    <row r="51" spans="1:24" ht="11.25" customHeight="1" x14ac:dyDescent="0.25">
      <c r="A51" s="942" t="s">
        <v>2330</v>
      </c>
      <c r="B51" s="279"/>
      <c r="C51" s="2057">
        <v>0</v>
      </c>
      <c r="D51" s="2057">
        <v>0</v>
      </c>
      <c r="E51" s="2058">
        <v>0</v>
      </c>
      <c r="F51" s="2059">
        <v>0</v>
      </c>
      <c r="G51" s="2057">
        <v>0</v>
      </c>
      <c r="H51" s="2058">
        <v>0</v>
      </c>
      <c r="I51" s="2060">
        <v>0</v>
      </c>
      <c r="J51" s="1930">
        <v>0</v>
      </c>
      <c r="K51" s="755">
        <v>0</v>
      </c>
      <c r="L51" s="1931">
        <v>0</v>
      </c>
      <c r="M51" s="2135"/>
      <c r="N51" s="2059">
        <v>0</v>
      </c>
      <c r="O51" s="2057">
        <v>0</v>
      </c>
      <c r="P51" s="2058">
        <v>0</v>
      </c>
      <c r="Q51" s="757">
        <v>0</v>
      </c>
      <c r="R51" s="2059">
        <v>0</v>
      </c>
      <c r="S51" s="2057">
        <v>0</v>
      </c>
      <c r="T51" s="2060">
        <v>0</v>
      </c>
      <c r="U51" s="2134">
        <v>0</v>
      </c>
      <c r="V51" s="2060">
        <v>0</v>
      </c>
      <c r="W51" s="2057">
        <v>0</v>
      </c>
      <c r="X51" s="2136">
        <v>0</v>
      </c>
    </row>
    <row r="52" spans="1:24" ht="9.75" hidden="1" customHeight="1" x14ac:dyDescent="0.25">
      <c r="A52" s="942">
        <v>0</v>
      </c>
      <c r="B52" s="279"/>
      <c r="C52" s="2057"/>
      <c r="D52" s="2057"/>
      <c r="E52" s="2058"/>
      <c r="F52" s="2059"/>
      <c r="G52" s="2057"/>
      <c r="H52" s="2058"/>
      <c r="I52" s="2060"/>
      <c r="J52" s="1930">
        <v>0</v>
      </c>
      <c r="K52" s="755">
        <v>0</v>
      </c>
      <c r="L52" s="1931">
        <v>0</v>
      </c>
      <c r="M52" s="2135"/>
      <c r="N52" s="2059"/>
      <c r="O52" s="2057"/>
      <c r="P52" s="2058"/>
      <c r="Q52" s="757">
        <v>0</v>
      </c>
      <c r="R52" s="2059"/>
      <c r="S52" s="2057"/>
      <c r="T52" s="2060"/>
      <c r="U52" s="2134">
        <v>0</v>
      </c>
      <c r="V52" s="2060"/>
      <c r="W52" s="2057"/>
      <c r="X52" s="2136"/>
    </row>
    <row r="53" spans="1:24" ht="11.25" hidden="1" customHeight="1" x14ac:dyDescent="0.25">
      <c r="A53" s="942">
        <v>0</v>
      </c>
      <c r="B53" s="279"/>
      <c r="C53" s="2057"/>
      <c r="D53" s="2057"/>
      <c r="E53" s="2058"/>
      <c r="F53" s="2059"/>
      <c r="G53" s="2057"/>
      <c r="H53" s="2058"/>
      <c r="I53" s="2060"/>
      <c r="J53" s="1930">
        <v>0</v>
      </c>
      <c r="K53" s="755">
        <v>0</v>
      </c>
      <c r="L53" s="1931">
        <v>0</v>
      </c>
      <c r="M53" s="2135"/>
      <c r="N53" s="2059"/>
      <c r="O53" s="2057"/>
      <c r="P53" s="2058"/>
      <c r="Q53" s="757">
        <v>0</v>
      </c>
      <c r="R53" s="2059"/>
      <c r="S53" s="2057"/>
      <c r="T53" s="2060"/>
      <c r="U53" s="2134">
        <v>0</v>
      </c>
      <c r="V53" s="2060"/>
      <c r="W53" s="2057"/>
      <c r="X53" s="2136"/>
    </row>
    <row r="54" spans="1:24" ht="11.25" hidden="1" customHeight="1" x14ac:dyDescent="0.25">
      <c r="A54" s="942">
        <v>0</v>
      </c>
      <c r="B54" s="279"/>
      <c r="C54" s="2057"/>
      <c r="D54" s="2057"/>
      <c r="E54" s="2058"/>
      <c r="F54" s="2059"/>
      <c r="G54" s="2057"/>
      <c r="H54" s="2058"/>
      <c r="I54" s="2060"/>
      <c r="J54" s="1930">
        <v>0</v>
      </c>
      <c r="K54" s="755">
        <v>0</v>
      </c>
      <c r="L54" s="1931">
        <v>0</v>
      </c>
      <c r="M54" s="2135"/>
      <c r="N54" s="2059"/>
      <c r="O54" s="2057"/>
      <c r="P54" s="2058"/>
      <c r="Q54" s="757">
        <v>0</v>
      </c>
      <c r="R54" s="2059"/>
      <c r="S54" s="2057"/>
      <c r="T54" s="2060"/>
      <c r="U54" s="2134">
        <v>0</v>
      </c>
      <c r="V54" s="2060"/>
      <c r="W54" s="2057"/>
      <c r="X54" s="2136"/>
    </row>
    <row r="55" spans="1:24" ht="11.25" hidden="1" customHeight="1" x14ac:dyDescent="0.25">
      <c r="A55" s="942">
        <v>0</v>
      </c>
      <c r="B55" s="279"/>
      <c r="C55" s="2057"/>
      <c r="D55" s="2057"/>
      <c r="E55" s="2058"/>
      <c r="F55" s="2059"/>
      <c r="G55" s="2057"/>
      <c r="H55" s="2058"/>
      <c r="I55" s="2060"/>
      <c r="J55" s="1930">
        <v>0</v>
      </c>
      <c r="K55" s="755">
        <v>0</v>
      </c>
      <c r="L55" s="1931">
        <v>0</v>
      </c>
      <c r="M55" s="2135"/>
      <c r="N55" s="2059"/>
      <c r="O55" s="2057"/>
      <c r="P55" s="2058"/>
      <c r="Q55" s="757">
        <v>0</v>
      </c>
      <c r="R55" s="2059"/>
      <c r="S55" s="2057"/>
      <c r="T55" s="2060"/>
      <c r="U55" s="2134">
        <v>0</v>
      </c>
      <c r="V55" s="2060"/>
      <c r="W55" s="2057"/>
      <c r="X55" s="2136"/>
    </row>
    <row r="56" spans="1:24" ht="11.25" hidden="1" customHeight="1" x14ac:dyDescent="0.25">
      <c r="A56" s="942">
        <v>0</v>
      </c>
      <c r="B56" s="279"/>
      <c r="C56" s="2057"/>
      <c r="D56" s="2057"/>
      <c r="E56" s="2058"/>
      <c r="F56" s="2059"/>
      <c r="G56" s="2057"/>
      <c r="H56" s="2058"/>
      <c r="I56" s="2060"/>
      <c r="J56" s="1930">
        <v>0</v>
      </c>
      <c r="K56" s="755">
        <v>0</v>
      </c>
      <c r="L56" s="1931">
        <v>0</v>
      </c>
      <c r="M56" s="2135"/>
      <c r="N56" s="2059"/>
      <c r="O56" s="2057"/>
      <c r="P56" s="2058"/>
      <c r="Q56" s="757">
        <v>0</v>
      </c>
      <c r="R56" s="2059"/>
      <c r="S56" s="2057"/>
      <c r="T56" s="2060"/>
      <c r="U56" s="2134">
        <v>0</v>
      </c>
      <c r="V56" s="2060"/>
      <c r="W56" s="2057"/>
      <c r="X56" s="2136"/>
    </row>
    <row r="57" spans="1:24" ht="11.25" hidden="1" customHeight="1" x14ac:dyDescent="0.25">
      <c r="A57" s="942">
        <v>0</v>
      </c>
      <c r="B57" s="279"/>
      <c r="C57" s="2057"/>
      <c r="D57" s="2057"/>
      <c r="E57" s="2058"/>
      <c r="F57" s="2059"/>
      <c r="G57" s="2057"/>
      <c r="H57" s="2058"/>
      <c r="I57" s="2060"/>
      <c r="J57" s="1930">
        <v>0</v>
      </c>
      <c r="K57" s="755">
        <v>0</v>
      </c>
      <c r="L57" s="1931">
        <v>0</v>
      </c>
      <c r="M57" s="2135"/>
      <c r="N57" s="2059"/>
      <c r="O57" s="2057"/>
      <c r="P57" s="2058"/>
      <c r="Q57" s="757">
        <v>0</v>
      </c>
      <c r="R57" s="2059"/>
      <c r="S57" s="2057"/>
      <c r="T57" s="2060"/>
      <c r="U57" s="2134">
        <v>0</v>
      </c>
      <c r="V57" s="2060"/>
      <c r="W57" s="2057"/>
      <c r="X57" s="2136"/>
    </row>
    <row r="58" spans="1:24" ht="11.25" hidden="1" customHeight="1" x14ac:dyDescent="0.25">
      <c r="A58" s="942">
        <v>0</v>
      </c>
      <c r="B58" s="279"/>
      <c r="C58" s="2057"/>
      <c r="D58" s="2057"/>
      <c r="E58" s="2058"/>
      <c r="F58" s="2059"/>
      <c r="G58" s="2057"/>
      <c r="H58" s="2058"/>
      <c r="I58" s="2060"/>
      <c r="J58" s="1930">
        <v>0</v>
      </c>
      <c r="K58" s="755">
        <v>0</v>
      </c>
      <c r="L58" s="1931">
        <v>0</v>
      </c>
      <c r="M58" s="2135"/>
      <c r="N58" s="2059"/>
      <c r="O58" s="2057"/>
      <c r="P58" s="2058"/>
      <c r="Q58" s="757">
        <v>0</v>
      </c>
      <c r="R58" s="2059"/>
      <c r="S58" s="2057"/>
      <c r="T58" s="2060"/>
      <c r="U58" s="2134">
        <v>0</v>
      </c>
      <c r="V58" s="2060"/>
      <c r="W58" s="2057"/>
      <c r="X58" s="2136"/>
    </row>
    <row r="59" spans="1:24" ht="11.25" hidden="1" customHeight="1" x14ac:dyDescent="0.25">
      <c r="A59" s="942">
        <v>0</v>
      </c>
      <c r="B59" s="279"/>
      <c r="C59" s="2057"/>
      <c r="D59" s="2057"/>
      <c r="E59" s="2058"/>
      <c r="F59" s="2059"/>
      <c r="G59" s="2057"/>
      <c r="H59" s="2058"/>
      <c r="I59" s="2060"/>
      <c r="J59" s="1930">
        <v>0</v>
      </c>
      <c r="K59" s="755">
        <v>0</v>
      </c>
      <c r="L59" s="1931">
        <v>0</v>
      </c>
      <c r="M59" s="2135"/>
      <c r="N59" s="2059"/>
      <c r="O59" s="2057"/>
      <c r="P59" s="2058"/>
      <c r="Q59" s="757">
        <v>0</v>
      </c>
      <c r="R59" s="2059"/>
      <c r="S59" s="2057"/>
      <c r="T59" s="2060"/>
      <c r="U59" s="2134">
        <v>0</v>
      </c>
      <c r="V59" s="2060"/>
      <c r="W59" s="2057"/>
      <c r="X59" s="2136"/>
    </row>
    <row r="60" spans="1:24" ht="11.25" hidden="1" customHeight="1" x14ac:dyDescent="0.25">
      <c r="A60" s="942">
        <v>0</v>
      </c>
      <c r="B60" s="279"/>
      <c r="C60" s="2057"/>
      <c r="D60" s="2057"/>
      <c r="E60" s="2058"/>
      <c r="F60" s="2059"/>
      <c r="G60" s="2057"/>
      <c r="H60" s="2058"/>
      <c r="I60" s="2060"/>
      <c r="J60" s="1930">
        <v>0</v>
      </c>
      <c r="K60" s="755">
        <v>0</v>
      </c>
      <c r="L60" s="1931">
        <v>0</v>
      </c>
      <c r="M60" s="2135"/>
      <c r="N60" s="2059"/>
      <c r="O60" s="2057"/>
      <c r="P60" s="2058"/>
      <c r="Q60" s="757">
        <v>0</v>
      </c>
      <c r="R60" s="2059"/>
      <c r="S60" s="2057"/>
      <c r="T60" s="2060"/>
      <c r="U60" s="2134">
        <v>0</v>
      </c>
      <c r="V60" s="2060"/>
      <c r="W60" s="2057"/>
      <c r="X60" s="2136"/>
    </row>
    <row r="61" spans="1:24" ht="15" customHeight="1" x14ac:dyDescent="0.25">
      <c r="A61" s="941" t="s">
        <v>2379</v>
      </c>
      <c r="B61" s="785"/>
      <c r="C61" s="755">
        <v>0</v>
      </c>
      <c r="D61" s="755">
        <v>0</v>
      </c>
      <c r="E61" s="758">
        <v>0</v>
      </c>
      <c r="F61" s="757">
        <v>0</v>
      </c>
      <c r="G61" s="755">
        <v>0</v>
      </c>
      <c r="H61" s="758">
        <v>0</v>
      </c>
      <c r="I61" s="756">
        <v>0</v>
      </c>
      <c r="J61" s="1930">
        <v>0</v>
      </c>
      <c r="K61" s="755">
        <v>0</v>
      </c>
      <c r="L61" s="1931">
        <v>0</v>
      </c>
      <c r="M61" s="2135"/>
      <c r="N61" s="757">
        <v>0</v>
      </c>
      <c r="O61" s="755">
        <v>0</v>
      </c>
      <c r="P61" s="758">
        <v>0</v>
      </c>
      <c r="Q61" s="757">
        <v>0</v>
      </c>
      <c r="R61" s="757">
        <v>0</v>
      </c>
      <c r="S61" s="755">
        <v>0</v>
      </c>
      <c r="T61" s="2133">
        <v>0</v>
      </c>
      <c r="U61" s="2134">
        <v>0</v>
      </c>
      <c r="V61" s="2138">
        <v>0</v>
      </c>
      <c r="W61" s="755">
        <v>0</v>
      </c>
      <c r="X61" s="1931">
        <v>0</v>
      </c>
    </row>
    <row r="62" spans="1:24" ht="11.25" customHeight="1" x14ac:dyDescent="0.25">
      <c r="A62" s="942" t="s">
        <v>2331</v>
      </c>
      <c r="B62" s="279"/>
      <c r="C62" s="2057">
        <v>0</v>
      </c>
      <c r="D62" s="2057">
        <v>0</v>
      </c>
      <c r="E62" s="2058">
        <v>0</v>
      </c>
      <c r="F62" s="2059">
        <v>0</v>
      </c>
      <c r="G62" s="2057">
        <v>0</v>
      </c>
      <c r="H62" s="2058">
        <v>0</v>
      </c>
      <c r="I62" s="2060">
        <v>0</v>
      </c>
      <c r="J62" s="1930">
        <v>0</v>
      </c>
      <c r="K62" s="755">
        <v>0</v>
      </c>
      <c r="L62" s="1931">
        <v>0</v>
      </c>
      <c r="M62" s="2135"/>
      <c r="N62" s="2059">
        <v>0</v>
      </c>
      <c r="O62" s="2057">
        <v>0</v>
      </c>
      <c r="P62" s="2058">
        <v>0</v>
      </c>
      <c r="Q62" s="757">
        <v>0</v>
      </c>
      <c r="R62" s="2059">
        <v>0</v>
      </c>
      <c r="S62" s="2057">
        <v>0</v>
      </c>
      <c r="T62" s="2060">
        <v>0</v>
      </c>
      <c r="U62" s="2134">
        <v>0</v>
      </c>
      <c r="V62" s="2060">
        <v>0</v>
      </c>
      <c r="W62" s="2057">
        <v>0</v>
      </c>
      <c r="X62" s="2136">
        <v>0</v>
      </c>
    </row>
    <row r="63" spans="1:24" ht="11.25" customHeight="1" x14ac:dyDescent="0.25">
      <c r="A63" s="942" t="s">
        <v>2332</v>
      </c>
      <c r="B63" s="279"/>
      <c r="C63" s="2057">
        <v>0</v>
      </c>
      <c r="D63" s="2057">
        <v>0</v>
      </c>
      <c r="E63" s="2058">
        <v>0</v>
      </c>
      <c r="F63" s="2059">
        <v>0</v>
      </c>
      <c r="G63" s="2057">
        <v>0</v>
      </c>
      <c r="H63" s="2058">
        <v>0</v>
      </c>
      <c r="I63" s="2060">
        <v>0</v>
      </c>
      <c r="J63" s="1930">
        <v>0</v>
      </c>
      <c r="K63" s="755">
        <v>0</v>
      </c>
      <c r="L63" s="1931">
        <v>0</v>
      </c>
      <c r="M63" s="2135"/>
      <c r="N63" s="2059">
        <v>0</v>
      </c>
      <c r="O63" s="2057">
        <v>0</v>
      </c>
      <c r="P63" s="2058">
        <v>0</v>
      </c>
      <c r="Q63" s="757">
        <v>0</v>
      </c>
      <c r="R63" s="2059">
        <v>0</v>
      </c>
      <c r="S63" s="2057">
        <v>0</v>
      </c>
      <c r="T63" s="2060">
        <v>0</v>
      </c>
      <c r="U63" s="2134">
        <v>0</v>
      </c>
      <c r="V63" s="2060">
        <v>0</v>
      </c>
      <c r="W63" s="2057">
        <v>0</v>
      </c>
      <c r="X63" s="2136">
        <v>0</v>
      </c>
    </row>
    <row r="64" spans="1:24" ht="11.25" customHeight="1" x14ac:dyDescent="0.25">
      <c r="A64" s="942" t="s">
        <v>2333</v>
      </c>
      <c r="B64" s="279"/>
      <c r="C64" s="2057">
        <v>0</v>
      </c>
      <c r="D64" s="2057">
        <v>0</v>
      </c>
      <c r="E64" s="2058">
        <v>0</v>
      </c>
      <c r="F64" s="2059">
        <v>0</v>
      </c>
      <c r="G64" s="2057">
        <v>0</v>
      </c>
      <c r="H64" s="2058">
        <v>0</v>
      </c>
      <c r="I64" s="2060">
        <v>0</v>
      </c>
      <c r="J64" s="1930">
        <v>0</v>
      </c>
      <c r="K64" s="755">
        <v>0</v>
      </c>
      <c r="L64" s="1931">
        <v>0</v>
      </c>
      <c r="M64" s="2135"/>
      <c r="N64" s="2059">
        <v>0</v>
      </c>
      <c r="O64" s="2057">
        <v>0</v>
      </c>
      <c r="P64" s="2058">
        <v>0</v>
      </c>
      <c r="Q64" s="757">
        <v>0</v>
      </c>
      <c r="R64" s="2059">
        <v>0</v>
      </c>
      <c r="S64" s="2057">
        <v>0</v>
      </c>
      <c r="T64" s="2060">
        <v>0</v>
      </c>
      <c r="U64" s="2134">
        <v>0</v>
      </c>
      <c r="V64" s="2060">
        <v>0</v>
      </c>
      <c r="W64" s="2057">
        <v>0</v>
      </c>
      <c r="X64" s="2136">
        <v>0</v>
      </c>
    </row>
    <row r="65" spans="1:24" ht="11.25" customHeight="1" x14ac:dyDescent="0.25">
      <c r="A65" s="942" t="s">
        <v>2334</v>
      </c>
      <c r="B65" s="279"/>
      <c r="C65" s="2057">
        <v>0</v>
      </c>
      <c r="D65" s="2057">
        <v>0</v>
      </c>
      <c r="E65" s="2058">
        <v>0</v>
      </c>
      <c r="F65" s="2059">
        <v>0</v>
      </c>
      <c r="G65" s="2057">
        <v>0</v>
      </c>
      <c r="H65" s="2058">
        <v>0</v>
      </c>
      <c r="I65" s="2060">
        <v>0</v>
      </c>
      <c r="J65" s="1930">
        <v>0</v>
      </c>
      <c r="K65" s="755">
        <v>0</v>
      </c>
      <c r="L65" s="1931">
        <v>0</v>
      </c>
      <c r="M65" s="2135"/>
      <c r="N65" s="2059">
        <v>0</v>
      </c>
      <c r="O65" s="2057">
        <v>0</v>
      </c>
      <c r="P65" s="2058">
        <v>0</v>
      </c>
      <c r="Q65" s="757">
        <v>0</v>
      </c>
      <c r="R65" s="2059">
        <v>0</v>
      </c>
      <c r="S65" s="2057">
        <v>0</v>
      </c>
      <c r="T65" s="2060">
        <v>0</v>
      </c>
      <c r="U65" s="2134">
        <v>0</v>
      </c>
      <c r="V65" s="2060">
        <v>0</v>
      </c>
      <c r="W65" s="2057">
        <v>0</v>
      </c>
      <c r="X65" s="2136">
        <v>0</v>
      </c>
    </row>
    <row r="66" spans="1:24" ht="11.25" hidden="1" customHeight="1" x14ac:dyDescent="0.25">
      <c r="A66" s="942">
        <v>0</v>
      </c>
      <c r="B66" s="279"/>
      <c r="C66" s="2057"/>
      <c r="D66" s="2057"/>
      <c r="E66" s="2058"/>
      <c r="F66" s="2059"/>
      <c r="G66" s="2057"/>
      <c r="H66" s="2058"/>
      <c r="I66" s="2060"/>
      <c r="J66" s="1930">
        <v>0</v>
      </c>
      <c r="K66" s="755">
        <v>0</v>
      </c>
      <c r="L66" s="1931">
        <v>0</v>
      </c>
      <c r="M66" s="2135"/>
      <c r="N66" s="2059"/>
      <c r="O66" s="2057"/>
      <c r="P66" s="2058"/>
      <c r="Q66" s="757">
        <v>0</v>
      </c>
      <c r="R66" s="2059"/>
      <c r="S66" s="2057"/>
      <c r="T66" s="2060"/>
      <c r="U66" s="2134">
        <v>0</v>
      </c>
      <c r="V66" s="2060"/>
      <c r="W66" s="2057"/>
      <c r="X66" s="2136"/>
    </row>
    <row r="67" spans="1:24" ht="11.25" hidden="1" customHeight="1" x14ac:dyDescent="0.25">
      <c r="A67" s="942">
        <v>0</v>
      </c>
      <c r="B67" s="279"/>
      <c r="C67" s="2057"/>
      <c r="D67" s="2057"/>
      <c r="E67" s="2058"/>
      <c r="F67" s="2059"/>
      <c r="G67" s="2057"/>
      <c r="H67" s="2058"/>
      <c r="I67" s="2060"/>
      <c r="J67" s="1930">
        <v>0</v>
      </c>
      <c r="K67" s="755">
        <v>0</v>
      </c>
      <c r="L67" s="1931">
        <v>0</v>
      </c>
      <c r="M67" s="2135"/>
      <c r="N67" s="2059"/>
      <c r="O67" s="2057"/>
      <c r="P67" s="2058"/>
      <c r="Q67" s="757">
        <v>0</v>
      </c>
      <c r="R67" s="2059"/>
      <c r="S67" s="2057"/>
      <c r="T67" s="2060"/>
      <c r="U67" s="2134">
        <v>0</v>
      </c>
      <c r="V67" s="2060"/>
      <c r="W67" s="2057"/>
      <c r="X67" s="2136"/>
    </row>
    <row r="68" spans="1:24" ht="11.25" hidden="1" customHeight="1" x14ac:dyDescent="0.25">
      <c r="A68" s="942">
        <v>0</v>
      </c>
      <c r="B68" s="279"/>
      <c r="C68" s="2057"/>
      <c r="D68" s="2057"/>
      <c r="E68" s="2058"/>
      <c r="F68" s="2059"/>
      <c r="G68" s="2057"/>
      <c r="H68" s="2058"/>
      <c r="I68" s="2060"/>
      <c r="J68" s="1930">
        <v>0</v>
      </c>
      <c r="K68" s="755">
        <v>0</v>
      </c>
      <c r="L68" s="1931">
        <v>0</v>
      </c>
      <c r="M68" s="2135"/>
      <c r="N68" s="2059"/>
      <c r="O68" s="2057"/>
      <c r="P68" s="2058"/>
      <c r="Q68" s="757">
        <v>0</v>
      </c>
      <c r="R68" s="2059"/>
      <c r="S68" s="2057"/>
      <c r="T68" s="2060"/>
      <c r="U68" s="2134">
        <v>0</v>
      </c>
      <c r="V68" s="2060"/>
      <c r="W68" s="2057"/>
      <c r="X68" s="2136"/>
    </row>
    <row r="69" spans="1:24" ht="11.25" hidden="1" customHeight="1" x14ac:dyDescent="0.25">
      <c r="A69" s="942">
        <v>0</v>
      </c>
      <c r="B69" s="279"/>
      <c r="C69" s="2057"/>
      <c r="D69" s="2057"/>
      <c r="E69" s="2058"/>
      <c r="F69" s="2059"/>
      <c r="G69" s="2057"/>
      <c r="H69" s="2058"/>
      <c r="I69" s="2060"/>
      <c r="J69" s="1930">
        <v>0</v>
      </c>
      <c r="K69" s="755">
        <v>0</v>
      </c>
      <c r="L69" s="1931">
        <v>0</v>
      </c>
      <c r="M69" s="2135"/>
      <c r="N69" s="2059"/>
      <c r="O69" s="2057"/>
      <c r="P69" s="2058"/>
      <c r="Q69" s="757">
        <v>0</v>
      </c>
      <c r="R69" s="2059"/>
      <c r="S69" s="2057"/>
      <c r="T69" s="2060"/>
      <c r="U69" s="2134">
        <v>0</v>
      </c>
      <c r="V69" s="2060"/>
      <c r="W69" s="2057"/>
      <c r="X69" s="2136"/>
    </row>
    <row r="70" spans="1:24" ht="11.25" hidden="1" customHeight="1" x14ac:dyDescent="0.25">
      <c r="A70" s="942">
        <v>0</v>
      </c>
      <c r="B70" s="279"/>
      <c r="C70" s="2057"/>
      <c r="D70" s="2057"/>
      <c r="E70" s="2058"/>
      <c r="F70" s="2059"/>
      <c r="G70" s="2057"/>
      <c r="H70" s="2058"/>
      <c r="I70" s="2060"/>
      <c r="J70" s="1930">
        <v>0</v>
      </c>
      <c r="K70" s="755">
        <v>0</v>
      </c>
      <c r="L70" s="1931">
        <v>0</v>
      </c>
      <c r="M70" s="2135"/>
      <c r="N70" s="2059"/>
      <c r="O70" s="2057"/>
      <c r="P70" s="2058"/>
      <c r="Q70" s="757">
        <v>0</v>
      </c>
      <c r="R70" s="2059"/>
      <c r="S70" s="2057"/>
      <c r="T70" s="2060"/>
      <c r="U70" s="2134">
        <v>0</v>
      </c>
      <c r="V70" s="2060"/>
      <c r="W70" s="2057"/>
      <c r="X70" s="2136"/>
    </row>
    <row r="71" spans="1:24" ht="11.25" hidden="1" customHeight="1" x14ac:dyDescent="0.25">
      <c r="A71" s="942">
        <v>0</v>
      </c>
      <c r="B71" s="279"/>
      <c r="C71" s="2057"/>
      <c r="D71" s="2057"/>
      <c r="E71" s="2058"/>
      <c r="F71" s="2059"/>
      <c r="G71" s="2057"/>
      <c r="H71" s="2058"/>
      <c r="I71" s="2060"/>
      <c r="J71" s="1930">
        <v>0</v>
      </c>
      <c r="K71" s="755">
        <v>0</v>
      </c>
      <c r="L71" s="1931">
        <v>0</v>
      </c>
      <c r="M71" s="2135"/>
      <c r="N71" s="2059"/>
      <c r="O71" s="2057"/>
      <c r="P71" s="2058"/>
      <c r="Q71" s="757">
        <v>0</v>
      </c>
      <c r="R71" s="2059"/>
      <c r="S71" s="2057"/>
      <c r="T71" s="2060"/>
      <c r="U71" s="2134">
        <v>0</v>
      </c>
      <c r="V71" s="2060"/>
      <c r="W71" s="2057"/>
      <c r="X71" s="2136"/>
    </row>
    <row r="72" spans="1:24" ht="15" customHeight="1" x14ac:dyDescent="0.25">
      <c r="A72" s="941" t="s">
        <v>2380</v>
      </c>
      <c r="B72" s="785"/>
      <c r="C72" s="755">
        <v>0</v>
      </c>
      <c r="D72" s="755">
        <v>0</v>
      </c>
      <c r="E72" s="758">
        <v>0</v>
      </c>
      <c r="F72" s="757">
        <v>0</v>
      </c>
      <c r="G72" s="755">
        <v>0</v>
      </c>
      <c r="H72" s="758">
        <v>0</v>
      </c>
      <c r="I72" s="756">
        <v>0</v>
      </c>
      <c r="J72" s="1930">
        <v>0</v>
      </c>
      <c r="K72" s="755">
        <v>0</v>
      </c>
      <c r="L72" s="1931">
        <v>0</v>
      </c>
      <c r="M72" s="2135"/>
      <c r="N72" s="757">
        <v>0</v>
      </c>
      <c r="O72" s="755">
        <v>0</v>
      </c>
      <c r="P72" s="758">
        <v>0</v>
      </c>
      <c r="Q72" s="757">
        <v>0</v>
      </c>
      <c r="R72" s="757">
        <v>0</v>
      </c>
      <c r="S72" s="755">
        <v>0</v>
      </c>
      <c r="T72" s="2133">
        <v>0</v>
      </c>
      <c r="U72" s="2134">
        <v>0</v>
      </c>
      <c r="V72" s="2138">
        <v>0</v>
      </c>
      <c r="W72" s="755">
        <v>0</v>
      </c>
      <c r="X72" s="1931">
        <v>0</v>
      </c>
    </row>
    <row r="73" spans="1:24" ht="11.25" customHeight="1" x14ac:dyDescent="0.25">
      <c r="A73" s="942" t="s">
        <v>2335</v>
      </c>
      <c r="B73" s="279"/>
      <c r="C73" s="2057">
        <v>0</v>
      </c>
      <c r="D73" s="2057">
        <v>0</v>
      </c>
      <c r="E73" s="2058">
        <v>0</v>
      </c>
      <c r="F73" s="2059">
        <v>0</v>
      </c>
      <c r="G73" s="2057">
        <v>0</v>
      </c>
      <c r="H73" s="2058">
        <v>0</v>
      </c>
      <c r="I73" s="2060">
        <v>0</v>
      </c>
      <c r="J73" s="1930">
        <v>0</v>
      </c>
      <c r="K73" s="755">
        <v>0</v>
      </c>
      <c r="L73" s="1931">
        <v>0</v>
      </c>
      <c r="M73" s="2135"/>
      <c r="N73" s="2059"/>
      <c r="O73" s="2057"/>
      <c r="P73" s="2058"/>
      <c r="Q73" s="757">
        <v>0</v>
      </c>
      <c r="R73" s="2059"/>
      <c r="S73" s="2057"/>
      <c r="T73" s="2060"/>
      <c r="U73" s="2134">
        <v>0</v>
      </c>
      <c r="V73" s="2060">
        <v>0</v>
      </c>
      <c r="W73" s="2057">
        <v>0</v>
      </c>
      <c r="X73" s="2136">
        <v>0</v>
      </c>
    </row>
    <row r="74" spans="1:24" ht="11.25" hidden="1" customHeight="1" x14ac:dyDescent="0.25">
      <c r="A74" s="942">
        <v>0</v>
      </c>
      <c r="B74" s="279"/>
      <c r="C74" s="2057"/>
      <c r="D74" s="2057"/>
      <c r="E74" s="2058"/>
      <c r="F74" s="2059"/>
      <c r="G74" s="2057"/>
      <c r="H74" s="2058"/>
      <c r="I74" s="2060"/>
      <c r="J74" s="1930">
        <v>0</v>
      </c>
      <c r="K74" s="755">
        <v>0</v>
      </c>
      <c r="L74" s="1931">
        <v>0</v>
      </c>
      <c r="M74" s="2135"/>
      <c r="N74" s="2059"/>
      <c r="O74" s="2057"/>
      <c r="P74" s="2058"/>
      <c r="Q74" s="757">
        <v>0</v>
      </c>
      <c r="R74" s="2059"/>
      <c r="S74" s="2057"/>
      <c r="T74" s="2060"/>
      <c r="U74" s="2134">
        <v>0</v>
      </c>
      <c r="V74" s="2060"/>
      <c r="W74" s="2057"/>
      <c r="X74" s="2136"/>
    </row>
    <row r="75" spans="1:24" ht="11.25" hidden="1" customHeight="1" x14ac:dyDescent="0.25">
      <c r="A75" s="942">
        <v>0</v>
      </c>
      <c r="B75" s="279"/>
      <c r="C75" s="2057"/>
      <c r="D75" s="2057"/>
      <c r="E75" s="2058"/>
      <c r="F75" s="2059"/>
      <c r="G75" s="2057"/>
      <c r="H75" s="2058"/>
      <c r="I75" s="2060"/>
      <c r="J75" s="1930">
        <v>0</v>
      </c>
      <c r="K75" s="755">
        <v>0</v>
      </c>
      <c r="L75" s="1931">
        <v>0</v>
      </c>
      <c r="M75" s="2135"/>
      <c r="N75" s="2059"/>
      <c r="O75" s="2057"/>
      <c r="P75" s="2058"/>
      <c r="Q75" s="757">
        <v>0</v>
      </c>
      <c r="R75" s="2059"/>
      <c r="S75" s="2057"/>
      <c r="T75" s="2060"/>
      <c r="U75" s="2134">
        <v>0</v>
      </c>
      <c r="V75" s="2060"/>
      <c r="W75" s="2057"/>
      <c r="X75" s="2136"/>
    </row>
    <row r="76" spans="1:24" ht="11.25" hidden="1" customHeight="1" x14ac:dyDescent="0.25">
      <c r="A76" s="942">
        <v>0</v>
      </c>
      <c r="B76" s="279"/>
      <c r="C76" s="2057"/>
      <c r="D76" s="2057"/>
      <c r="E76" s="2058"/>
      <c r="F76" s="2059"/>
      <c r="G76" s="2057"/>
      <c r="H76" s="2058"/>
      <c r="I76" s="2060"/>
      <c r="J76" s="1930">
        <v>0</v>
      </c>
      <c r="K76" s="755">
        <v>0</v>
      </c>
      <c r="L76" s="1931">
        <v>0</v>
      </c>
      <c r="M76" s="2135"/>
      <c r="N76" s="2059"/>
      <c r="O76" s="2057"/>
      <c r="P76" s="2058"/>
      <c r="Q76" s="757">
        <v>0</v>
      </c>
      <c r="R76" s="2059"/>
      <c r="S76" s="2057"/>
      <c r="T76" s="2060"/>
      <c r="U76" s="2134">
        <v>0</v>
      </c>
      <c r="V76" s="2060"/>
      <c r="W76" s="2057"/>
      <c r="X76" s="2136"/>
    </row>
    <row r="77" spans="1:24" ht="11.25" hidden="1" customHeight="1" x14ac:dyDescent="0.25">
      <c r="A77" s="942">
        <v>0</v>
      </c>
      <c r="B77" s="279"/>
      <c r="C77" s="2057"/>
      <c r="D77" s="2057"/>
      <c r="E77" s="2058"/>
      <c r="F77" s="2059"/>
      <c r="G77" s="2057"/>
      <c r="H77" s="2058"/>
      <c r="I77" s="2060"/>
      <c r="J77" s="1930">
        <v>0</v>
      </c>
      <c r="K77" s="755">
        <v>0</v>
      </c>
      <c r="L77" s="1931">
        <v>0</v>
      </c>
      <c r="M77" s="2135"/>
      <c r="N77" s="2059"/>
      <c r="O77" s="2057"/>
      <c r="P77" s="2058"/>
      <c r="Q77" s="757">
        <v>0</v>
      </c>
      <c r="R77" s="2059"/>
      <c r="S77" s="2057"/>
      <c r="T77" s="2060"/>
      <c r="U77" s="2134">
        <v>0</v>
      </c>
      <c r="V77" s="2060"/>
      <c r="W77" s="2057"/>
      <c r="X77" s="2136"/>
    </row>
    <row r="78" spans="1:24" ht="11.25" hidden="1" customHeight="1" x14ac:dyDescent="0.25">
      <c r="A78" s="942">
        <v>0</v>
      </c>
      <c r="B78" s="279"/>
      <c r="C78" s="2057"/>
      <c r="D78" s="2057"/>
      <c r="E78" s="2058"/>
      <c r="F78" s="2059"/>
      <c r="G78" s="2057"/>
      <c r="H78" s="2058"/>
      <c r="I78" s="2060"/>
      <c r="J78" s="1930">
        <v>0</v>
      </c>
      <c r="K78" s="755">
        <v>0</v>
      </c>
      <c r="L78" s="1931">
        <v>0</v>
      </c>
      <c r="M78" s="2135"/>
      <c r="N78" s="2059"/>
      <c r="O78" s="2057"/>
      <c r="P78" s="2058"/>
      <c r="Q78" s="757">
        <v>0</v>
      </c>
      <c r="R78" s="2059"/>
      <c r="S78" s="2057"/>
      <c r="T78" s="2060"/>
      <c r="U78" s="2134">
        <v>0</v>
      </c>
      <c r="V78" s="2060"/>
      <c r="W78" s="2057"/>
      <c r="X78" s="2136"/>
    </row>
    <row r="79" spans="1:24" ht="11.25" hidden="1" customHeight="1" x14ac:dyDescent="0.25">
      <c r="A79" s="942">
        <v>0</v>
      </c>
      <c r="B79" s="279"/>
      <c r="C79" s="2057"/>
      <c r="D79" s="2057"/>
      <c r="E79" s="2058"/>
      <c r="F79" s="2059"/>
      <c r="G79" s="2057"/>
      <c r="H79" s="2058"/>
      <c r="I79" s="2060"/>
      <c r="J79" s="1930">
        <v>0</v>
      </c>
      <c r="K79" s="755">
        <v>0</v>
      </c>
      <c r="L79" s="1931">
        <v>0</v>
      </c>
      <c r="M79" s="2135"/>
      <c r="N79" s="2059"/>
      <c r="O79" s="2057"/>
      <c r="P79" s="2058"/>
      <c r="Q79" s="757">
        <v>0</v>
      </c>
      <c r="R79" s="2059"/>
      <c r="S79" s="2057"/>
      <c r="T79" s="2060"/>
      <c r="U79" s="2134">
        <v>0</v>
      </c>
      <c r="V79" s="2060"/>
      <c r="W79" s="2057"/>
      <c r="X79" s="2136"/>
    </row>
    <row r="80" spans="1:24" ht="11.25" hidden="1" customHeight="1" x14ac:dyDescent="0.25">
      <c r="A80" s="942">
        <v>0</v>
      </c>
      <c r="B80" s="279"/>
      <c r="C80" s="2057"/>
      <c r="D80" s="2057"/>
      <c r="E80" s="2058"/>
      <c r="F80" s="2059"/>
      <c r="G80" s="2057"/>
      <c r="H80" s="2058"/>
      <c r="I80" s="2060"/>
      <c r="J80" s="1930">
        <v>0</v>
      </c>
      <c r="K80" s="755">
        <v>0</v>
      </c>
      <c r="L80" s="1931">
        <v>0</v>
      </c>
      <c r="M80" s="2135"/>
      <c r="N80" s="2059"/>
      <c r="O80" s="2057"/>
      <c r="P80" s="2058"/>
      <c r="Q80" s="757">
        <v>0</v>
      </c>
      <c r="R80" s="2059"/>
      <c r="S80" s="2057"/>
      <c r="T80" s="2060"/>
      <c r="U80" s="2134">
        <v>0</v>
      </c>
      <c r="V80" s="2060"/>
      <c r="W80" s="2057"/>
      <c r="X80" s="2136"/>
    </row>
    <row r="81" spans="1:24" ht="11.25" hidden="1" customHeight="1" x14ac:dyDescent="0.25">
      <c r="A81" s="942">
        <v>0</v>
      </c>
      <c r="B81" s="279"/>
      <c r="C81" s="2057"/>
      <c r="D81" s="2057"/>
      <c r="E81" s="2058"/>
      <c r="F81" s="2059"/>
      <c r="G81" s="2057"/>
      <c r="H81" s="2058"/>
      <c r="I81" s="2060"/>
      <c r="J81" s="1930">
        <v>0</v>
      </c>
      <c r="K81" s="755">
        <v>0</v>
      </c>
      <c r="L81" s="1931">
        <v>0</v>
      </c>
      <c r="M81" s="2135"/>
      <c r="N81" s="2059"/>
      <c r="O81" s="2057"/>
      <c r="P81" s="2058"/>
      <c r="Q81" s="757">
        <v>0</v>
      </c>
      <c r="R81" s="2059"/>
      <c r="S81" s="2057"/>
      <c r="T81" s="2060"/>
      <c r="U81" s="2134">
        <v>0</v>
      </c>
      <c r="V81" s="2060"/>
      <c r="W81" s="2057"/>
      <c r="X81" s="2136"/>
    </row>
    <row r="82" spans="1:24" ht="11.25" hidden="1" customHeight="1" x14ac:dyDescent="0.25">
      <c r="A82" s="942">
        <v>0</v>
      </c>
      <c r="B82" s="279"/>
      <c r="C82" s="2057"/>
      <c r="D82" s="2057"/>
      <c r="E82" s="2058"/>
      <c r="F82" s="2059"/>
      <c r="G82" s="2057"/>
      <c r="H82" s="2058"/>
      <c r="I82" s="2060"/>
      <c r="J82" s="1930">
        <v>0</v>
      </c>
      <c r="K82" s="755">
        <v>0</v>
      </c>
      <c r="L82" s="1931">
        <v>0</v>
      </c>
      <c r="M82" s="2135"/>
      <c r="N82" s="2059"/>
      <c r="O82" s="2057"/>
      <c r="P82" s="2058"/>
      <c r="Q82" s="757">
        <v>0</v>
      </c>
      <c r="R82" s="2059"/>
      <c r="S82" s="2057"/>
      <c r="T82" s="2060"/>
      <c r="U82" s="2134">
        <v>0</v>
      </c>
      <c r="V82" s="2060"/>
      <c r="W82" s="2057"/>
      <c r="X82" s="2136"/>
    </row>
    <row r="83" spans="1:24" ht="15" customHeight="1" x14ac:dyDescent="0.25">
      <c r="A83" s="941" t="s">
        <v>2381</v>
      </c>
      <c r="B83" s="279"/>
      <c r="C83" s="755">
        <v>0</v>
      </c>
      <c r="D83" s="755">
        <v>0</v>
      </c>
      <c r="E83" s="758">
        <v>0</v>
      </c>
      <c r="F83" s="757">
        <v>0</v>
      </c>
      <c r="G83" s="755">
        <v>0</v>
      </c>
      <c r="H83" s="758">
        <v>0</v>
      </c>
      <c r="I83" s="756">
        <v>0</v>
      </c>
      <c r="J83" s="1930">
        <v>0</v>
      </c>
      <c r="K83" s="755">
        <v>0</v>
      </c>
      <c r="L83" s="1931">
        <v>0</v>
      </c>
      <c r="M83" s="1264"/>
      <c r="N83" s="757">
        <v>0</v>
      </c>
      <c r="O83" s="755">
        <v>0</v>
      </c>
      <c r="P83" s="758">
        <v>0</v>
      </c>
      <c r="Q83" s="757">
        <v>0</v>
      </c>
      <c r="R83" s="757">
        <v>0</v>
      </c>
      <c r="S83" s="755">
        <v>0</v>
      </c>
      <c r="T83" s="2133">
        <v>0</v>
      </c>
      <c r="U83" s="2134">
        <v>0</v>
      </c>
      <c r="V83" s="2138">
        <v>0</v>
      </c>
      <c r="W83" s="755">
        <v>0</v>
      </c>
      <c r="X83" s="1931">
        <v>0</v>
      </c>
    </row>
    <row r="84" spans="1:24" ht="11.25" customHeight="1" x14ac:dyDescent="0.25">
      <c r="A84" s="942" t="s">
        <v>2336</v>
      </c>
      <c r="B84" s="279"/>
      <c r="C84" s="2057">
        <v>0</v>
      </c>
      <c r="D84" s="2057">
        <v>0</v>
      </c>
      <c r="E84" s="2060">
        <v>0</v>
      </c>
      <c r="F84" s="2059">
        <v>0</v>
      </c>
      <c r="G84" s="2057">
        <v>0</v>
      </c>
      <c r="H84" s="2058">
        <v>0</v>
      </c>
      <c r="I84" s="2060">
        <v>0</v>
      </c>
      <c r="J84" s="1930">
        <v>0</v>
      </c>
      <c r="K84" s="755">
        <v>0</v>
      </c>
      <c r="L84" s="1931">
        <v>0</v>
      </c>
      <c r="M84" s="1264"/>
      <c r="N84" s="2059"/>
      <c r="O84" s="2057"/>
      <c r="P84" s="2058"/>
      <c r="Q84" s="757">
        <v>0</v>
      </c>
      <c r="R84" s="2059"/>
      <c r="S84" s="2057"/>
      <c r="T84" s="2060"/>
      <c r="U84" s="2134">
        <v>0</v>
      </c>
      <c r="V84" s="2060">
        <v>0</v>
      </c>
      <c r="W84" s="2057">
        <v>0</v>
      </c>
      <c r="X84" s="2136">
        <v>0</v>
      </c>
    </row>
    <row r="85" spans="1:24" ht="11.25" hidden="1" customHeight="1" x14ac:dyDescent="0.25">
      <c r="A85" s="942">
        <v>0</v>
      </c>
      <c r="B85" s="279"/>
      <c r="C85" s="2057"/>
      <c r="D85" s="2057"/>
      <c r="E85" s="2060"/>
      <c r="F85" s="2059"/>
      <c r="G85" s="2057"/>
      <c r="H85" s="2058"/>
      <c r="I85" s="2060"/>
      <c r="J85" s="1930">
        <v>0</v>
      </c>
      <c r="K85" s="755">
        <v>0</v>
      </c>
      <c r="L85" s="1931">
        <v>0</v>
      </c>
      <c r="M85" s="1264"/>
      <c r="N85" s="2059"/>
      <c r="O85" s="2057"/>
      <c r="P85" s="2058"/>
      <c r="Q85" s="757">
        <v>0</v>
      </c>
      <c r="R85" s="2059"/>
      <c r="S85" s="2057"/>
      <c r="T85" s="2060"/>
      <c r="U85" s="2134">
        <v>0</v>
      </c>
      <c r="V85" s="2060"/>
      <c r="W85" s="2057"/>
      <c r="X85" s="2136"/>
    </row>
    <row r="86" spans="1:24" ht="11.25" hidden="1" customHeight="1" x14ac:dyDescent="0.25">
      <c r="A86" s="942">
        <v>0</v>
      </c>
      <c r="B86" s="279"/>
      <c r="C86" s="2057"/>
      <c r="D86" s="2057"/>
      <c r="E86" s="2060"/>
      <c r="F86" s="2059"/>
      <c r="G86" s="2057"/>
      <c r="H86" s="2058"/>
      <c r="I86" s="2060"/>
      <c r="J86" s="1930">
        <v>0</v>
      </c>
      <c r="K86" s="755">
        <v>0</v>
      </c>
      <c r="L86" s="1931">
        <v>0</v>
      </c>
      <c r="M86" s="1264"/>
      <c r="N86" s="2059"/>
      <c r="O86" s="2057"/>
      <c r="P86" s="2058"/>
      <c r="Q86" s="757">
        <v>0</v>
      </c>
      <c r="R86" s="2059"/>
      <c r="S86" s="2057"/>
      <c r="T86" s="2060"/>
      <c r="U86" s="2134">
        <v>0</v>
      </c>
      <c r="V86" s="2060"/>
      <c r="W86" s="2057"/>
      <c r="X86" s="2136"/>
    </row>
    <row r="87" spans="1:24" ht="11.25" hidden="1" customHeight="1" x14ac:dyDescent="0.25">
      <c r="A87" s="942">
        <v>0</v>
      </c>
      <c r="B87" s="279"/>
      <c r="C87" s="2057"/>
      <c r="D87" s="2057"/>
      <c r="E87" s="2060"/>
      <c r="F87" s="2059"/>
      <c r="G87" s="2057"/>
      <c r="H87" s="2058"/>
      <c r="I87" s="2060"/>
      <c r="J87" s="1930">
        <v>0</v>
      </c>
      <c r="K87" s="755">
        <v>0</v>
      </c>
      <c r="L87" s="1931">
        <v>0</v>
      </c>
      <c r="M87" s="1264"/>
      <c r="N87" s="2059"/>
      <c r="O87" s="2057"/>
      <c r="P87" s="2058"/>
      <c r="Q87" s="757">
        <v>0</v>
      </c>
      <c r="R87" s="2059"/>
      <c r="S87" s="2057"/>
      <c r="T87" s="2060"/>
      <c r="U87" s="2134">
        <v>0</v>
      </c>
      <c r="V87" s="2060"/>
      <c r="W87" s="2057"/>
      <c r="X87" s="2136"/>
    </row>
    <row r="88" spans="1:24" ht="11.25" hidden="1" customHeight="1" x14ac:dyDescent="0.25">
      <c r="A88" s="942">
        <v>0</v>
      </c>
      <c r="B88" s="279"/>
      <c r="C88" s="2057"/>
      <c r="D88" s="2057"/>
      <c r="E88" s="2060"/>
      <c r="F88" s="2059"/>
      <c r="G88" s="2057"/>
      <c r="H88" s="2058"/>
      <c r="I88" s="2060"/>
      <c r="J88" s="1930">
        <v>0</v>
      </c>
      <c r="K88" s="755">
        <v>0</v>
      </c>
      <c r="L88" s="1931">
        <v>0</v>
      </c>
      <c r="M88" s="1264"/>
      <c r="N88" s="2059"/>
      <c r="O88" s="2057"/>
      <c r="P88" s="2058"/>
      <c r="Q88" s="757">
        <v>0</v>
      </c>
      <c r="R88" s="2059"/>
      <c r="S88" s="2057"/>
      <c r="T88" s="2060"/>
      <c r="U88" s="2134">
        <v>0</v>
      </c>
      <c r="V88" s="2060"/>
      <c r="W88" s="2057"/>
      <c r="X88" s="2136"/>
    </row>
    <row r="89" spans="1:24" ht="11.25" hidden="1" customHeight="1" x14ac:dyDescent="0.25">
      <c r="A89" s="942">
        <v>0</v>
      </c>
      <c r="B89" s="279"/>
      <c r="C89" s="2057"/>
      <c r="D89" s="2057"/>
      <c r="E89" s="2060"/>
      <c r="F89" s="2059"/>
      <c r="G89" s="2057"/>
      <c r="H89" s="2058"/>
      <c r="I89" s="2060"/>
      <c r="J89" s="1930">
        <v>0</v>
      </c>
      <c r="K89" s="755">
        <v>0</v>
      </c>
      <c r="L89" s="1931">
        <v>0</v>
      </c>
      <c r="M89" s="1264"/>
      <c r="N89" s="2059"/>
      <c r="O89" s="2057"/>
      <c r="P89" s="2058"/>
      <c r="Q89" s="757">
        <v>0</v>
      </c>
      <c r="R89" s="2059"/>
      <c r="S89" s="2057"/>
      <c r="T89" s="2060"/>
      <c r="U89" s="2134">
        <v>0</v>
      </c>
      <c r="V89" s="2060"/>
      <c r="W89" s="2057"/>
      <c r="X89" s="2136"/>
    </row>
    <row r="90" spans="1:24" ht="11.25" hidden="1" customHeight="1" x14ac:dyDescent="0.25">
      <c r="A90" s="942">
        <v>0</v>
      </c>
      <c r="B90" s="279"/>
      <c r="C90" s="2057"/>
      <c r="D90" s="2057"/>
      <c r="E90" s="2060"/>
      <c r="F90" s="2059"/>
      <c r="G90" s="2057"/>
      <c r="H90" s="2058"/>
      <c r="I90" s="2060"/>
      <c r="J90" s="1930">
        <v>0</v>
      </c>
      <c r="K90" s="755">
        <v>0</v>
      </c>
      <c r="L90" s="1931">
        <v>0</v>
      </c>
      <c r="M90" s="1264"/>
      <c r="N90" s="2059"/>
      <c r="O90" s="2057"/>
      <c r="P90" s="2058"/>
      <c r="Q90" s="757">
        <v>0</v>
      </c>
      <c r="R90" s="2059"/>
      <c r="S90" s="2057"/>
      <c r="T90" s="2060"/>
      <c r="U90" s="2134">
        <v>0</v>
      </c>
      <c r="V90" s="2060"/>
      <c r="W90" s="2057"/>
      <c r="X90" s="2136"/>
    </row>
    <row r="91" spans="1:24" ht="11.25" hidden="1" customHeight="1" x14ac:dyDescent="0.25">
      <c r="A91" s="942">
        <v>0</v>
      </c>
      <c r="B91" s="279"/>
      <c r="C91" s="2057"/>
      <c r="D91" s="2057"/>
      <c r="E91" s="2060"/>
      <c r="F91" s="2059"/>
      <c r="G91" s="2057"/>
      <c r="H91" s="2058"/>
      <c r="I91" s="2060"/>
      <c r="J91" s="1930">
        <v>0</v>
      </c>
      <c r="K91" s="755">
        <v>0</v>
      </c>
      <c r="L91" s="1931">
        <v>0</v>
      </c>
      <c r="M91" s="1264"/>
      <c r="N91" s="2059"/>
      <c r="O91" s="2057"/>
      <c r="P91" s="2058"/>
      <c r="Q91" s="757">
        <v>0</v>
      </c>
      <c r="R91" s="2059"/>
      <c r="S91" s="2057"/>
      <c r="T91" s="2060"/>
      <c r="U91" s="2134">
        <v>0</v>
      </c>
      <c r="V91" s="2060"/>
      <c r="W91" s="2057"/>
      <c r="X91" s="2136"/>
    </row>
    <row r="92" spans="1:24" ht="11.25" hidden="1" customHeight="1" x14ac:dyDescent="0.25">
      <c r="A92" s="942">
        <v>0</v>
      </c>
      <c r="B92" s="279"/>
      <c r="C92" s="2057"/>
      <c r="D92" s="2057"/>
      <c r="E92" s="2060"/>
      <c r="F92" s="2059"/>
      <c r="G92" s="2057"/>
      <c r="H92" s="2058"/>
      <c r="I92" s="2060"/>
      <c r="J92" s="1930">
        <v>0</v>
      </c>
      <c r="K92" s="755">
        <v>0</v>
      </c>
      <c r="L92" s="1931">
        <v>0</v>
      </c>
      <c r="M92" s="1264"/>
      <c r="N92" s="2059"/>
      <c r="O92" s="2057"/>
      <c r="P92" s="2058"/>
      <c r="Q92" s="757">
        <v>0</v>
      </c>
      <c r="R92" s="2059"/>
      <c r="S92" s="2057"/>
      <c r="T92" s="2060"/>
      <c r="U92" s="2134">
        <v>0</v>
      </c>
      <c r="V92" s="2060"/>
      <c r="W92" s="2057"/>
      <c r="X92" s="2136"/>
    </row>
    <row r="93" spans="1:24" ht="11.25" hidden="1" customHeight="1" x14ac:dyDescent="0.25">
      <c r="A93" s="942">
        <v>0</v>
      </c>
      <c r="B93" s="279"/>
      <c r="C93" s="2057"/>
      <c r="D93" s="2057"/>
      <c r="E93" s="2060"/>
      <c r="F93" s="2059"/>
      <c r="G93" s="2057"/>
      <c r="H93" s="2058"/>
      <c r="I93" s="2060"/>
      <c r="J93" s="1930">
        <v>0</v>
      </c>
      <c r="K93" s="755">
        <v>0</v>
      </c>
      <c r="L93" s="1931">
        <v>0</v>
      </c>
      <c r="M93" s="1264"/>
      <c r="N93" s="2059"/>
      <c r="O93" s="2057"/>
      <c r="P93" s="2058"/>
      <c r="Q93" s="757">
        <v>0</v>
      </c>
      <c r="R93" s="2059"/>
      <c r="S93" s="2057"/>
      <c r="T93" s="2060"/>
      <c r="U93" s="2134">
        <v>0</v>
      </c>
      <c r="V93" s="2060"/>
      <c r="W93" s="2057"/>
      <c r="X93" s="2136"/>
    </row>
    <row r="94" spans="1:24" ht="15" customHeight="1" x14ac:dyDescent="0.25">
      <c r="A94" s="941" t="s">
        <v>2382</v>
      </c>
      <c r="B94" s="279"/>
      <c r="C94" s="755">
        <v>0</v>
      </c>
      <c r="D94" s="755">
        <v>0</v>
      </c>
      <c r="E94" s="758">
        <v>0</v>
      </c>
      <c r="F94" s="757">
        <v>0</v>
      </c>
      <c r="G94" s="755">
        <v>0</v>
      </c>
      <c r="H94" s="758">
        <v>0</v>
      </c>
      <c r="I94" s="756">
        <v>0</v>
      </c>
      <c r="J94" s="1930">
        <v>0</v>
      </c>
      <c r="K94" s="755">
        <v>0</v>
      </c>
      <c r="L94" s="1931">
        <v>0</v>
      </c>
      <c r="M94" s="1264"/>
      <c r="N94" s="757">
        <v>0</v>
      </c>
      <c r="O94" s="755">
        <v>0</v>
      </c>
      <c r="P94" s="758">
        <v>0</v>
      </c>
      <c r="Q94" s="757">
        <v>0</v>
      </c>
      <c r="R94" s="757">
        <v>0</v>
      </c>
      <c r="S94" s="755">
        <v>0</v>
      </c>
      <c r="T94" s="2133">
        <v>0</v>
      </c>
      <c r="U94" s="2134">
        <v>0</v>
      </c>
      <c r="V94" s="2138">
        <v>0</v>
      </c>
      <c r="W94" s="755">
        <v>0</v>
      </c>
      <c r="X94" s="1931">
        <v>0</v>
      </c>
    </row>
    <row r="95" spans="1:24" ht="11.25" customHeight="1" x14ac:dyDescent="0.25">
      <c r="A95" s="942" t="s">
        <v>2338</v>
      </c>
      <c r="B95" s="279"/>
      <c r="C95" s="2057">
        <v>0</v>
      </c>
      <c r="D95" s="2057">
        <v>0</v>
      </c>
      <c r="E95" s="2060">
        <v>0</v>
      </c>
      <c r="F95" s="2059">
        <v>0</v>
      </c>
      <c r="G95" s="2057">
        <v>0</v>
      </c>
      <c r="H95" s="2058">
        <v>0</v>
      </c>
      <c r="I95" s="2060">
        <v>0</v>
      </c>
      <c r="J95" s="1930">
        <v>0</v>
      </c>
      <c r="K95" s="755">
        <v>0</v>
      </c>
      <c r="L95" s="1931">
        <v>0</v>
      </c>
      <c r="M95" s="1264"/>
      <c r="N95" s="2059">
        <v>0</v>
      </c>
      <c r="O95" s="2057">
        <v>0</v>
      </c>
      <c r="P95" s="2058">
        <v>0</v>
      </c>
      <c r="Q95" s="757">
        <v>0</v>
      </c>
      <c r="R95" s="2059">
        <v>0</v>
      </c>
      <c r="S95" s="2057">
        <v>0</v>
      </c>
      <c r="T95" s="2060">
        <v>0</v>
      </c>
      <c r="U95" s="2134">
        <v>0</v>
      </c>
      <c r="V95" s="2060">
        <v>0</v>
      </c>
      <c r="W95" s="2057">
        <v>0</v>
      </c>
      <c r="X95" s="2136">
        <v>0</v>
      </c>
    </row>
    <row r="96" spans="1:24" ht="11.25" customHeight="1" x14ac:dyDescent="0.25">
      <c r="A96" s="942" t="s">
        <v>2337</v>
      </c>
      <c r="B96" s="279"/>
      <c r="C96" s="2057">
        <v>0</v>
      </c>
      <c r="D96" s="2057">
        <v>0</v>
      </c>
      <c r="E96" s="2060">
        <v>0</v>
      </c>
      <c r="F96" s="2059">
        <v>0</v>
      </c>
      <c r="G96" s="2057">
        <v>0</v>
      </c>
      <c r="H96" s="2058">
        <v>0</v>
      </c>
      <c r="I96" s="2060">
        <v>0</v>
      </c>
      <c r="J96" s="1930">
        <v>0</v>
      </c>
      <c r="K96" s="755">
        <v>0</v>
      </c>
      <c r="L96" s="1931">
        <v>0</v>
      </c>
      <c r="M96" s="1264"/>
      <c r="N96" s="2059">
        <v>0</v>
      </c>
      <c r="O96" s="2057">
        <v>0</v>
      </c>
      <c r="P96" s="2058">
        <v>0</v>
      </c>
      <c r="Q96" s="757">
        <v>0</v>
      </c>
      <c r="R96" s="2059">
        <v>0</v>
      </c>
      <c r="S96" s="2057">
        <v>0</v>
      </c>
      <c r="T96" s="2060">
        <v>0</v>
      </c>
      <c r="U96" s="2134">
        <v>0</v>
      </c>
      <c r="V96" s="2060">
        <v>0</v>
      </c>
      <c r="W96" s="2057">
        <v>0</v>
      </c>
      <c r="X96" s="2136">
        <v>0</v>
      </c>
    </row>
    <row r="97" spans="1:24" ht="11.25" hidden="1" customHeight="1" x14ac:dyDescent="0.25">
      <c r="A97" s="942">
        <v>0</v>
      </c>
      <c r="B97" s="279"/>
      <c r="C97" s="2057"/>
      <c r="D97" s="2057"/>
      <c r="E97" s="2060"/>
      <c r="F97" s="2059"/>
      <c r="G97" s="2057"/>
      <c r="H97" s="2058"/>
      <c r="I97" s="2060"/>
      <c r="J97" s="1930">
        <v>0</v>
      </c>
      <c r="K97" s="755">
        <v>0</v>
      </c>
      <c r="L97" s="1931">
        <v>0</v>
      </c>
      <c r="M97" s="1264"/>
      <c r="N97" s="2059"/>
      <c r="O97" s="2057"/>
      <c r="P97" s="2058"/>
      <c r="Q97" s="757">
        <v>0</v>
      </c>
      <c r="R97" s="2059"/>
      <c r="S97" s="2057"/>
      <c r="T97" s="2060"/>
      <c r="U97" s="2134">
        <v>0</v>
      </c>
      <c r="V97" s="2060"/>
      <c r="W97" s="2057"/>
      <c r="X97" s="2136"/>
    </row>
    <row r="98" spans="1:24" ht="11.25" hidden="1" customHeight="1" x14ac:dyDescent="0.25">
      <c r="A98" s="942">
        <v>0</v>
      </c>
      <c r="B98" s="279"/>
      <c r="C98" s="2057"/>
      <c r="D98" s="2057"/>
      <c r="E98" s="2060"/>
      <c r="F98" s="2059"/>
      <c r="G98" s="2057"/>
      <c r="H98" s="2058"/>
      <c r="I98" s="2060"/>
      <c r="J98" s="1930">
        <v>0</v>
      </c>
      <c r="K98" s="755">
        <v>0</v>
      </c>
      <c r="L98" s="1931">
        <v>0</v>
      </c>
      <c r="M98" s="1264"/>
      <c r="N98" s="2059"/>
      <c r="O98" s="2057"/>
      <c r="P98" s="2058"/>
      <c r="Q98" s="757">
        <v>0</v>
      </c>
      <c r="R98" s="2059"/>
      <c r="S98" s="2057"/>
      <c r="T98" s="2060"/>
      <c r="U98" s="2134">
        <v>0</v>
      </c>
      <c r="V98" s="2060"/>
      <c r="W98" s="2057"/>
      <c r="X98" s="2136"/>
    </row>
    <row r="99" spans="1:24" ht="11.25" hidden="1" customHeight="1" x14ac:dyDescent="0.25">
      <c r="A99" s="942">
        <v>0</v>
      </c>
      <c r="B99" s="279"/>
      <c r="C99" s="2057"/>
      <c r="D99" s="2057"/>
      <c r="E99" s="2060"/>
      <c r="F99" s="2059"/>
      <c r="G99" s="2057"/>
      <c r="H99" s="2058"/>
      <c r="I99" s="2060"/>
      <c r="J99" s="1930">
        <v>0</v>
      </c>
      <c r="K99" s="755">
        <v>0</v>
      </c>
      <c r="L99" s="1931">
        <v>0</v>
      </c>
      <c r="M99" s="1264"/>
      <c r="N99" s="2059"/>
      <c r="O99" s="2057"/>
      <c r="P99" s="2058"/>
      <c r="Q99" s="757">
        <v>0</v>
      </c>
      <c r="R99" s="2059"/>
      <c r="S99" s="2057"/>
      <c r="T99" s="2060"/>
      <c r="U99" s="2134">
        <v>0</v>
      </c>
      <c r="V99" s="2060"/>
      <c r="W99" s="2057"/>
      <c r="X99" s="2136"/>
    </row>
    <row r="100" spans="1:24" ht="11.25" hidden="1" customHeight="1" x14ac:dyDescent="0.25">
      <c r="A100" s="942">
        <v>0</v>
      </c>
      <c r="B100" s="279"/>
      <c r="C100" s="2057"/>
      <c r="D100" s="2057"/>
      <c r="E100" s="2060"/>
      <c r="F100" s="2059"/>
      <c r="G100" s="2057"/>
      <c r="H100" s="2058"/>
      <c r="I100" s="2060"/>
      <c r="J100" s="1930">
        <v>0</v>
      </c>
      <c r="K100" s="755">
        <v>0</v>
      </c>
      <c r="L100" s="1931">
        <v>0</v>
      </c>
      <c r="M100" s="1264"/>
      <c r="N100" s="2059"/>
      <c r="O100" s="2057"/>
      <c r="P100" s="2058"/>
      <c r="Q100" s="757">
        <v>0</v>
      </c>
      <c r="R100" s="2059"/>
      <c r="S100" s="2057"/>
      <c r="T100" s="2060"/>
      <c r="U100" s="2134">
        <v>0</v>
      </c>
      <c r="V100" s="2060"/>
      <c r="W100" s="2057"/>
      <c r="X100" s="2136"/>
    </row>
    <row r="101" spans="1:24" ht="11.25" hidden="1" customHeight="1" x14ac:dyDescent="0.25">
      <c r="A101" s="942">
        <v>0</v>
      </c>
      <c r="B101" s="279"/>
      <c r="C101" s="2057"/>
      <c r="D101" s="2057"/>
      <c r="E101" s="2060"/>
      <c r="F101" s="2059"/>
      <c r="G101" s="2057"/>
      <c r="H101" s="2058"/>
      <c r="I101" s="2060"/>
      <c r="J101" s="1930">
        <v>0</v>
      </c>
      <c r="K101" s="755">
        <v>0</v>
      </c>
      <c r="L101" s="1931">
        <v>0</v>
      </c>
      <c r="M101" s="1264"/>
      <c r="N101" s="2059"/>
      <c r="O101" s="2057"/>
      <c r="P101" s="2058"/>
      <c r="Q101" s="757">
        <v>0</v>
      </c>
      <c r="R101" s="2059"/>
      <c r="S101" s="2057"/>
      <c r="T101" s="2060"/>
      <c r="U101" s="2134">
        <v>0</v>
      </c>
      <c r="V101" s="2060"/>
      <c r="W101" s="2057"/>
      <c r="X101" s="2136"/>
    </row>
    <row r="102" spans="1:24" ht="11.25" hidden="1" customHeight="1" x14ac:dyDescent="0.25">
      <c r="A102" s="942">
        <v>0</v>
      </c>
      <c r="B102" s="279"/>
      <c r="C102" s="2057"/>
      <c r="D102" s="2057"/>
      <c r="E102" s="2060"/>
      <c r="F102" s="2059"/>
      <c r="G102" s="2057"/>
      <c r="H102" s="2058"/>
      <c r="I102" s="2060"/>
      <c r="J102" s="1930">
        <v>0</v>
      </c>
      <c r="K102" s="755">
        <v>0</v>
      </c>
      <c r="L102" s="1931">
        <v>0</v>
      </c>
      <c r="M102" s="1264"/>
      <c r="N102" s="2059"/>
      <c r="O102" s="2057"/>
      <c r="P102" s="2058"/>
      <c r="Q102" s="757">
        <v>0</v>
      </c>
      <c r="R102" s="2059"/>
      <c r="S102" s="2057"/>
      <c r="T102" s="2060"/>
      <c r="U102" s="2134">
        <v>0</v>
      </c>
      <c r="V102" s="2060"/>
      <c r="W102" s="2057"/>
      <c r="X102" s="2136"/>
    </row>
    <row r="103" spans="1:24" ht="11.25" hidden="1" customHeight="1" x14ac:dyDescent="0.25">
      <c r="A103" s="942">
        <v>0</v>
      </c>
      <c r="B103" s="279"/>
      <c r="C103" s="2057"/>
      <c r="D103" s="2057"/>
      <c r="E103" s="2060"/>
      <c r="F103" s="2059"/>
      <c r="G103" s="2057"/>
      <c r="H103" s="2058"/>
      <c r="I103" s="2060"/>
      <c r="J103" s="1930">
        <v>0</v>
      </c>
      <c r="K103" s="755">
        <v>0</v>
      </c>
      <c r="L103" s="1931">
        <v>0</v>
      </c>
      <c r="M103" s="1264"/>
      <c r="N103" s="2059"/>
      <c r="O103" s="2057"/>
      <c r="P103" s="2058"/>
      <c r="Q103" s="757">
        <v>0</v>
      </c>
      <c r="R103" s="2059"/>
      <c r="S103" s="2057"/>
      <c r="T103" s="2060"/>
      <c r="U103" s="2134">
        <v>0</v>
      </c>
      <c r="V103" s="2060"/>
      <c r="W103" s="2057"/>
      <c r="X103" s="2136"/>
    </row>
    <row r="104" spans="1:24" ht="11.25" hidden="1" customHeight="1" x14ac:dyDescent="0.25">
      <c r="A104" s="942">
        <v>0</v>
      </c>
      <c r="B104" s="279"/>
      <c r="C104" s="2057"/>
      <c r="D104" s="2057"/>
      <c r="E104" s="2060"/>
      <c r="F104" s="2059"/>
      <c r="G104" s="2057"/>
      <c r="H104" s="2058"/>
      <c r="I104" s="2060"/>
      <c r="J104" s="1930">
        <v>0</v>
      </c>
      <c r="K104" s="755">
        <v>0</v>
      </c>
      <c r="L104" s="1931">
        <v>0</v>
      </c>
      <c r="M104" s="1264"/>
      <c r="N104" s="2059"/>
      <c r="O104" s="2057"/>
      <c r="P104" s="2058"/>
      <c r="Q104" s="757">
        <v>0</v>
      </c>
      <c r="R104" s="2059"/>
      <c r="S104" s="2057"/>
      <c r="T104" s="2060"/>
      <c r="U104" s="2134">
        <v>0</v>
      </c>
      <c r="V104" s="2060"/>
      <c r="W104" s="2057"/>
      <c r="X104" s="2136"/>
    </row>
    <row r="105" spans="1:24" ht="15" customHeight="1" x14ac:dyDescent="0.25">
      <c r="A105" s="941" t="s">
        <v>2383</v>
      </c>
      <c r="B105" s="279"/>
      <c r="C105" s="755">
        <v>0</v>
      </c>
      <c r="D105" s="755">
        <v>0</v>
      </c>
      <c r="E105" s="758">
        <v>0</v>
      </c>
      <c r="F105" s="757">
        <v>0</v>
      </c>
      <c r="G105" s="755">
        <v>0</v>
      </c>
      <c r="H105" s="758">
        <v>0</v>
      </c>
      <c r="I105" s="756">
        <v>0</v>
      </c>
      <c r="J105" s="1930">
        <v>0</v>
      </c>
      <c r="K105" s="755">
        <v>0</v>
      </c>
      <c r="L105" s="1931">
        <v>0</v>
      </c>
      <c r="M105" s="1264"/>
      <c r="N105" s="757">
        <v>0</v>
      </c>
      <c r="O105" s="755">
        <v>0</v>
      </c>
      <c r="P105" s="758">
        <v>0</v>
      </c>
      <c r="Q105" s="757">
        <v>0</v>
      </c>
      <c r="R105" s="757">
        <v>0</v>
      </c>
      <c r="S105" s="755">
        <v>0</v>
      </c>
      <c r="T105" s="2133">
        <v>0</v>
      </c>
      <c r="U105" s="2134">
        <v>0</v>
      </c>
      <c r="V105" s="2138">
        <v>0</v>
      </c>
      <c r="W105" s="755">
        <v>0</v>
      </c>
      <c r="X105" s="1931">
        <v>0</v>
      </c>
    </row>
    <row r="106" spans="1:24" ht="11.25" customHeight="1" x14ac:dyDescent="0.25">
      <c r="A106" s="942" t="s">
        <v>2339</v>
      </c>
      <c r="B106" s="279"/>
      <c r="C106" s="2057">
        <v>0</v>
      </c>
      <c r="D106" s="2057">
        <v>0</v>
      </c>
      <c r="E106" s="2060">
        <v>0</v>
      </c>
      <c r="F106" s="2059">
        <v>0</v>
      </c>
      <c r="G106" s="2057">
        <v>0</v>
      </c>
      <c r="H106" s="2058">
        <v>0</v>
      </c>
      <c r="I106" s="2060">
        <v>0</v>
      </c>
      <c r="J106" s="1930">
        <v>0</v>
      </c>
      <c r="K106" s="755">
        <v>0</v>
      </c>
      <c r="L106" s="1931">
        <v>0</v>
      </c>
      <c r="M106" s="1264"/>
      <c r="N106" s="2059">
        <v>0</v>
      </c>
      <c r="O106" s="2057">
        <v>0</v>
      </c>
      <c r="P106" s="2058">
        <v>0</v>
      </c>
      <c r="Q106" s="757">
        <v>0</v>
      </c>
      <c r="R106" s="2059">
        <v>0</v>
      </c>
      <c r="S106" s="2057">
        <v>0</v>
      </c>
      <c r="T106" s="2060">
        <v>0</v>
      </c>
      <c r="U106" s="2134">
        <v>0</v>
      </c>
      <c r="V106" s="2060">
        <v>0</v>
      </c>
      <c r="W106" s="2057">
        <v>0</v>
      </c>
      <c r="X106" s="2136">
        <v>0</v>
      </c>
    </row>
    <row r="107" spans="1:24" ht="11.25" hidden="1" customHeight="1" x14ac:dyDescent="0.25">
      <c r="A107" s="942">
        <v>0</v>
      </c>
      <c r="B107" s="279"/>
      <c r="C107" s="2057"/>
      <c r="D107" s="2057"/>
      <c r="E107" s="2060"/>
      <c r="F107" s="2059"/>
      <c r="G107" s="2057"/>
      <c r="H107" s="2058"/>
      <c r="I107" s="2060"/>
      <c r="J107" s="1930">
        <v>0</v>
      </c>
      <c r="K107" s="755">
        <v>0</v>
      </c>
      <c r="L107" s="1931">
        <v>0</v>
      </c>
      <c r="M107" s="1264"/>
      <c r="N107" s="2059"/>
      <c r="O107" s="2057"/>
      <c r="P107" s="2058"/>
      <c r="Q107" s="757">
        <v>0</v>
      </c>
      <c r="R107" s="2059"/>
      <c r="S107" s="2057"/>
      <c r="T107" s="2060"/>
      <c r="U107" s="2134">
        <v>0</v>
      </c>
      <c r="V107" s="2060"/>
      <c r="W107" s="2057"/>
      <c r="X107" s="2136"/>
    </row>
    <row r="108" spans="1:24" ht="11.25" hidden="1" customHeight="1" x14ac:dyDescent="0.25">
      <c r="A108" s="942">
        <v>0</v>
      </c>
      <c r="B108" s="279"/>
      <c r="C108" s="2057"/>
      <c r="D108" s="2057"/>
      <c r="E108" s="2060"/>
      <c r="F108" s="2059"/>
      <c r="G108" s="2057"/>
      <c r="H108" s="2058"/>
      <c r="I108" s="2060"/>
      <c r="J108" s="1930">
        <v>0</v>
      </c>
      <c r="K108" s="755">
        <v>0</v>
      </c>
      <c r="L108" s="1931">
        <v>0</v>
      </c>
      <c r="M108" s="1264"/>
      <c r="N108" s="2059"/>
      <c r="O108" s="2057"/>
      <c r="P108" s="2058"/>
      <c r="Q108" s="757">
        <v>0</v>
      </c>
      <c r="R108" s="2059"/>
      <c r="S108" s="2057"/>
      <c r="T108" s="2060"/>
      <c r="U108" s="2134">
        <v>0</v>
      </c>
      <c r="V108" s="2060"/>
      <c r="W108" s="2057"/>
      <c r="X108" s="2136"/>
    </row>
    <row r="109" spans="1:24" ht="11.25" hidden="1" customHeight="1" x14ac:dyDescent="0.25">
      <c r="A109" s="942">
        <v>0</v>
      </c>
      <c r="B109" s="279"/>
      <c r="C109" s="2057"/>
      <c r="D109" s="2057"/>
      <c r="E109" s="2060"/>
      <c r="F109" s="2059"/>
      <c r="G109" s="2057"/>
      <c r="H109" s="2058"/>
      <c r="I109" s="2060"/>
      <c r="J109" s="1930">
        <v>0</v>
      </c>
      <c r="K109" s="755">
        <v>0</v>
      </c>
      <c r="L109" s="1931">
        <v>0</v>
      </c>
      <c r="M109" s="1264"/>
      <c r="N109" s="2059"/>
      <c r="O109" s="2057"/>
      <c r="P109" s="2058"/>
      <c r="Q109" s="757">
        <v>0</v>
      </c>
      <c r="R109" s="2059"/>
      <c r="S109" s="2057"/>
      <c r="T109" s="2060"/>
      <c r="U109" s="2134">
        <v>0</v>
      </c>
      <c r="V109" s="2060"/>
      <c r="W109" s="2057"/>
      <c r="X109" s="2136"/>
    </row>
    <row r="110" spans="1:24" ht="11.25" hidden="1" customHeight="1" x14ac:dyDescent="0.25">
      <c r="A110" s="942">
        <v>0</v>
      </c>
      <c r="B110" s="279"/>
      <c r="C110" s="2057"/>
      <c r="D110" s="2057"/>
      <c r="E110" s="2060"/>
      <c r="F110" s="2059"/>
      <c r="G110" s="2057"/>
      <c r="H110" s="2058"/>
      <c r="I110" s="2060"/>
      <c r="J110" s="1930">
        <v>0</v>
      </c>
      <c r="K110" s="755">
        <v>0</v>
      </c>
      <c r="L110" s="1931">
        <v>0</v>
      </c>
      <c r="M110" s="1264"/>
      <c r="N110" s="2059"/>
      <c r="O110" s="2057"/>
      <c r="P110" s="2058"/>
      <c r="Q110" s="757">
        <v>0</v>
      </c>
      <c r="R110" s="2059"/>
      <c r="S110" s="2057"/>
      <c r="T110" s="2060"/>
      <c r="U110" s="2134">
        <v>0</v>
      </c>
      <c r="V110" s="2060"/>
      <c r="W110" s="2057"/>
      <c r="X110" s="2136"/>
    </row>
    <row r="111" spans="1:24" ht="11.25" hidden="1" customHeight="1" x14ac:dyDescent="0.25">
      <c r="A111" s="942">
        <v>0</v>
      </c>
      <c r="B111" s="279"/>
      <c r="C111" s="2057"/>
      <c r="D111" s="2057"/>
      <c r="E111" s="2060"/>
      <c r="F111" s="2059"/>
      <c r="G111" s="2057"/>
      <c r="H111" s="2058"/>
      <c r="I111" s="2060"/>
      <c r="J111" s="1930">
        <v>0</v>
      </c>
      <c r="K111" s="755">
        <v>0</v>
      </c>
      <c r="L111" s="1931">
        <v>0</v>
      </c>
      <c r="M111" s="1264"/>
      <c r="N111" s="2059"/>
      <c r="O111" s="2057"/>
      <c r="P111" s="2058"/>
      <c r="Q111" s="757">
        <v>0</v>
      </c>
      <c r="R111" s="2059"/>
      <c r="S111" s="2057"/>
      <c r="T111" s="2060"/>
      <c r="U111" s="2134">
        <v>0</v>
      </c>
      <c r="V111" s="2060"/>
      <c r="W111" s="2057"/>
      <c r="X111" s="2136"/>
    </row>
    <row r="112" spans="1:24" ht="11.25" hidden="1" customHeight="1" x14ac:dyDescent="0.25">
      <c r="A112" s="942">
        <v>0</v>
      </c>
      <c r="B112" s="279"/>
      <c r="C112" s="2057"/>
      <c r="D112" s="2057"/>
      <c r="E112" s="2060"/>
      <c r="F112" s="2059"/>
      <c r="G112" s="2057"/>
      <c r="H112" s="2058"/>
      <c r="I112" s="2060"/>
      <c r="J112" s="1930">
        <v>0</v>
      </c>
      <c r="K112" s="755">
        <v>0</v>
      </c>
      <c r="L112" s="1931">
        <v>0</v>
      </c>
      <c r="M112" s="1264"/>
      <c r="N112" s="2059"/>
      <c r="O112" s="2057"/>
      <c r="P112" s="2058"/>
      <c r="Q112" s="757">
        <v>0</v>
      </c>
      <c r="R112" s="2059"/>
      <c r="S112" s="2057"/>
      <c r="T112" s="2060"/>
      <c r="U112" s="2134">
        <v>0</v>
      </c>
      <c r="V112" s="2060"/>
      <c r="W112" s="2057"/>
      <c r="X112" s="2136"/>
    </row>
    <row r="113" spans="1:24" ht="11.25" hidden="1" customHeight="1" x14ac:dyDescent="0.25">
      <c r="A113" s="942">
        <v>0</v>
      </c>
      <c r="B113" s="279"/>
      <c r="C113" s="2057"/>
      <c r="D113" s="2057"/>
      <c r="E113" s="2060"/>
      <c r="F113" s="2059"/>
      <c r="G113" s="2057"/>
      <c r="H113" s="2058"/>
      <c r="I113" s="2060"/>
      <c r="J113" s="1930">
        <v>0</v>
      </c>
      <c r="K113" s="755">
        <v>0</v>
      </c>
      <c r="L113" s="1931">
        <v>0</v>
      </c>
      <c r="M113" s="1264"/>
      <c r="N113" s="2059"/>
      <c r="O113" s="2057"/>
      <c r="P113" s="2058"/>
      <c r="Q113" s="757">
        <v>0</v>
      </c>
      <c r="R113" s="2059"/>
      <c r="S113" s="2057"/>
      <c r="T113" s="2060"/>
      <c r="U113" s="2134">
        <v>0</v>
      </c>
      <c r="V113" s="2060"/>
      <c r="W113" s="2057"/>
      <c r="X113" s="2136"/>
    </row>
    <row r="114" spans="1:24" ht="11.25" hidden="1" customHeight="1" x14ac:dyDescent="0.25">
      <c r="A114" s="942">
        <v>0</v>
      </c>
      <c r="B114" s="279"/>
      <c r="C114" s="2057"/>
      <c r="D114" s="2057"/>
      <c r="E114" s="2060"/>
      <c r="F114" s="2059"/>
      <c r="G114" s="2057"/>
      <c r="H114" s="2058"/>
      <c r="I114" s="2060"/>
      <c r="J114" s="1930">
        <v>0</v>
      </c>
      <c r="K114" s="755">
        <v>0</v>
      </c>
      <c r="L114" s="1931">
        <v>0</v>
      </c>
      <c r="M114" s="1264"/>
      <c r="N114" s="2059"/>
      <c r="O114" s="2057"/>
      <c r="P114" s="2058"/>
      <c r="Q114" s="757">
        <v>0</v>
      </c>
      <c r="R114" s="2059"/>
      <c r="S114" s="2057"/>
      <c r="T114" s="2060"/>
      <c r="U114" s="2134">
        <v>0</v>
      </c>
      <c r="V114" s="2060"/>
      <c r="W114" s="2057"/>
      <c r="X114" s="2136"/>
    </row>
    <row r="115" spans="1:24" ht="11.25" hidden="1" customHeight="1" x14ac:dyDescent="0.25">
      <c r="A115" s="942">
        <v>0</v>
      </c>
      <c r="B115" s="279"/>
      <c r="C115" s="2057"/>
      <c r="D115" s="2057"/>
      <c r="E115" s="2060"/>
      <c r="F115" s="2059"/>
      <c r="G115" s="2057"/>
      <c r="H115" s="2058"/>
      <c r="I115" s="2060"/>
      <c r="J115" s="1930">
        <v>0</v>
      </c>
      <c r="K115" s="755">
        <v>0</v>
      </c>
      <c r="L115" s="1931">
        <v>0</v>
      </c>
      <c r="M115" s="1264"/>
      <c r="N115" s="2059"/>
      <c r="O115" s="2057"/>
      <c r="P115" s="2058"/>
      <c r="Q115" s="757">
        <v>0</v>
      </c>
      <c r="R115" s="2059"/>
      <c r="S115" s="2057"/>
      <c r="T115" s="2060"/>
      <c r="U115" s="2134">
        <v>0</v>
      </c>
      <c r="V115" s="2060"/>
      <c r="W115" s="2057"/>
      <c r="X115" s="2136"/>
    </row>
    <row r="116" spans="1:24" ht="15" hidden="1" customHeight="1" x14ac:dyDescent="0.25">
      <c r="A116" s="941" t="s">
        <v>2492</v>
      </c>
      <c r="B116" s="279"/>
      <c r="C116" s="755">
        <v>0</v>
      </c>
      <c r="D116" s="755">
        <v>0</v>
      </c>
      <c r="E116" s="758">
        <v>0</v>
      </c>
      <c r="F116" s="757">
        <v>0</v>
      </c>
      <c r="G116" s="755">
        <v>0</v>
      </c>
      <c r="H116" s="758">
        <v>0</v>
      </c>
      <c r="I116" s="756">
        <v>0</v>
      </c>
      <c r="J116" s="1930">
        <v>0</v>
      </c>
      <c r="K116" s="755">
        <v>0</v>
      </c>
      <c r="L116" s="1931">
        <v>0</v>
      </c>
      <c r="M116" s="1264"/>
      <c r="N116" s="757">
        <v>0</v>
      </c>
      <c r="O116" s="755">
        <v>0</v>
      </c>
      <c r="P116" s="758">
        <v>0</v>
      </c>
      <c r="Q116" s="757">
        <v>0</v>
      </c>
      <c r="R116" s="757">
        <v>0</v>
      </c>
      <c r="S116" s="755">
        <v>0</v>
      </c>
      <c r="T116" s="2133">
        <v>0</v>
      </c>
      <c r="U116" s="2134">
        <v>0</v>
      </c>
      <c r="V116" s="2138">
        <v>0</v>
      </c>
      <c r="W116" s="755">
        <v>0</v>
      </c>
      <c r="X116" s="1931">
        <v>0</v>
      </c>
    </row>
    <row r="117" spans="1:24" ht="11.25" hidden="1" customHeight="1" x14ac:dyDescent="0.25">
      <c r="A117" s="942" t="s">
        <v>2035</v>
      </c>
      <c r="B117" s="279"/>
      <c r="C117" s="2057"/>
      <c r="D117" s="2057"/>
      <c r="E117" s="2060"/>
      <c r="F117" s="2059"/>
      <c r="G117" s="2057"/>
      <c r="H117" s="2058"/>
      <c r="I117" s="2060"/>
      <c r="J117" s="1930">
        <v>0</v>
      </c>
      <c r="K117" s="755">
        <v>0</v>
      </c>
      <c r="L117" s="1931">
        <v>0</v>
      </c>
      <c r="M117" s="1264"/>
      <c r="N117" s="2059"/>
      <c r="O117" s="2057"/>
      <c r="P117" s="2058"/>
      <c r="Q117" s="757">
        <v>0</v>
      </c>
      <c r="R117" s="2059"/>
      <c r="S117" s="2057"/>
      <c r="T117" s="2060"/>
      <c r="U117" s="2134">
        <v>0</v>
      </c>
      <c r="V117" s="2060"/>
      <c r="W117" s="2057"/>
      <c r="X117" s="2136"/>
    </row>
    <row r="118" spans="1:24" ht="11.25" hidden="1" customHeight="1" x14ac:dyDescent="0.25">
      <c r="A118" s="942">
        <v>0</v>
      </c>
      <c r="B118" s="279"/>
      <c r="C118" s="2057"/>
      <c r="D118" s="2057"/>
      <c r="E118" s="2060"/>
      <c r="F118" s="2059"/>
      <c r="G118" s="2057"/>
      <c r="H118" s="2058"/>
      <c r="I118" s="2060"/>
      <c r="J118" s="1930">
        <v>0</v>
      </c>
      <c r="K118" s="755">
        <v>0</v>
      </c>
      <c r="L118" s="1931">
        <v>0</v>
      </c>
      <c r="M118" s="1264"/>
      <c r="N118" s="2059"/>
      <c r="O118" s="2057"/>
      <c r="P118" s="2058"/>
      <c r="Q118" s="757">
        <v>0</v>
      </c>
      <c r="R118" s="2059"/>
      <c r="S118" s="2057"/>
      <c r="T118" s="2060"/>
      <c r="U118" s="2134">
        <v>0</v>
      </c>
      <c r="V118" s="2060"/>
      <c r="W118" s="2057"/>
      <c r="X118" s="2136"/>
    </row>
    <row r="119" spans="1:24" ht="11.25" hidden="1" customHeight="1" x14ac:dyDescent="0.25">
      <c r="A119" s="942">
        <v>0</v>
      </c>
      <c r="B119" s="279"/>
      <c r="C119" s="2057"/>
      <c r="D119" s="2057"/>
      <c r="E119" s="2060"/>
      <c r="F119" s="2059"/>
      <c r="G119" s="2057"/>
      <c r="H119" s="2058"/>
      <c r="I119" s="2060"/>
      <c r="J119" s="1930">
        <v>0</v>
      </c>
      <c r="K119" s="755">
        <v>0</v>
      </c>
      <c r="L119" s="1931">
        <v>0</v>
      </c>
      <c r="M119" s="1264"/>
      <c r="N119" s="2059"/>
      <c r="O119" s="2057"/>
      <c r="P119" s="2058"/>
      <c r="Q119" s="757">
        <v>0</v>
      </c>
      <c r="R119" s="2059"/>
      <c r="S119" s="2057"/>
      <c r="T119" s="2060"/>
      <c r="U119" s="2134">
        <v>0</v>
      </c>
      <c r="V119" s="2060"/>
      <c r="W119" s="2057"/>
      <c r="X119" s="2136"/>
    </row>
    <row r="120" spans="1:24" ht="11.25" hidden="1" customHeight="1" x14ac:dyDescent="0.25">
      <c r="A120" s="942">
        <v>0</v>
      </c>
      <c r="B120" s="279"/>
      <c r="C120" s="2057"/>
      <c r="D120" s="2057"/>
      <c r="E120" s="2060"/>
      <c r="F120" s="2059"/>
      <c r="G120" s="2057"/>
      <c r="H120" s="2058"/>
      <c r="I120" s="2060"/>
      <c r="J120" s="1930">
        <v>0</v>
      </c>
      <c r="K120" s="755">
        <v>0</v>
      </c>
      <c r="L120" s="1931">
        <v>0</v>
      </c>
      <c r="M120" s="1264"/>
      <c r="N120" s="2059"/>
      <c r="O120" s="2057"/>
      <c r="P120" s="2058"/>
      <c r="Q120" s="757">
        <v>0</v>
      </c>
      <c r="R120" s="2059"/>
      <c r="S120" s="2057"/>
      <c r="T120" s="2060"/>
      <c r="U120" s="2134">
        <v>0</v>
      </c>
      <c r="V120" s="2060"/>
      <c r="W120" s="2057"/>
      <c r="X120" s="2136"/>
    </row>
    <row r="121" spans="1:24" ht="11.25" hidden="1" customHeight="1" x14ac:dyDescent="0.25">
      <c r="A121" s="942">
        <v>0</v>
      </c>
      <c r="B121" s="279"/>
      <c r="C121" s="2057"/>
      <c r="D121" s="2057"/>
      <c r="E121" s="2060"/>
      <c r="F121" s="2059"/>
      <c r="G121" s="2057"/>
      <c r="H121" s="2058"/>
      <c r="I121" s="2060"/>
      <c r="J121" s="1930">
        <v>0</v>
      </c>
      <c r="K121" s="755">
        <v>0</v>
      </c>
      <c r="L121" s="1931">
        <v>0</v>
      </c>
      <c r="M121" s="1264"/>
      <c r="N121" s="2059"/>
      <c r="O121" s="2057"/>
      <c r="P121" s="2058"/>
      <c r="Q121" s="757">
        <v>0</v>
      </c>
      <c r="R121" s="2059"/>
      <c r="S121" s="2057"/>
      <c r="T121" s="2060"/>
      <c r="U121" s="2134">
        <v>0</v>
      </c>
      <c r="V121" s="2060"/>
      <c r="W121" s="2057"/>
      <c r="X121" s="2136"/>
    </row>
    <row r="122" spans="1:24" ht="11.25" hidden="1" customHeight="1" x14ac:dyDescent="0.25">
      <c r="A122" s="942">
        <v>0</v>
      </c>
      <c r="B122" s="279"/>
      <c r="C122" s="2057"/>
      <c r="D122" s="2057"/>
      <c r="E122" s="2060"/>
      <c r="F122" s="2059"/>
      <c r="G122" s="2057"/>
      <c r="H122" s="2058"/>
      <c r="I122" s="2060"/>
      <c r="J122" s="1930">
        <v>0</v>
      </c>
      <c r="K122" s="755">
        <v>0</v>
      </c>
      <c r="L122" s="1931">
        <v>0</v>
      </c>
      <c r="M122" s="1264"/>
      <c r="N122" s="2059"/>
      <c r="O122" s="2057"/>
      <c r="P122" s="2058"/>
      <c r="Q122" s="757">
        <v>0</v>
      </c>
      <c r="R122" s="2059"/>
      <c r="S122" s="2057"/>
      <c r="T122" s="2060"/>
      <c r="U122" s="2134">
        <v>0</v>
      </c>
      <c r="V122" s="2060"/>
      <c r="W122" s="2057"/>
      <c r="X122" s="2136"/>
    </row>
    <row r="123" spans="1:24" ht="11.25" hidden="1" customHeight="1" x14ac:dyDescent="0.25">
      <c r="A123" s="942">
        <v>0</v>
      </c>
      <c r="B123" s="279"/>
      <c r="C123" s="2057"/>
      <c r="D123" s="2057"/>
      <c r="E123" s="2060"/>
      <c r="F123" s="2059"/>
      <c r="G123" s="2057"/>
      <c r="H123" s="2058"/>
      <c r="I123" s="2060"/>
      <c r="J123" s="1930">
        <v>0</v>
      </c>
      <c r="K123" s="755">
        <v>0</v>
      </c>
      <c r="L123" s="1931">
        <v>0</v>
      </c>
      <c r="M123" s="1264"/>
      <c r="N123" s="2059"/>
      <c r="O123" s="2057"/>
      <c r="P123" s="2058"/>
      <c r="Q123" s="757">
        <v>0</v>
      </c>
      <c r="R123" s="2059"/>
      <c r="S123" s="2057"/>
      <c r="T123" s="2060"/>
      <c r="U123" s="2134">
        <v>0</v>
      </c>
      <c r="V123" s="2060"/>
      <c r="W123" s="2057"/>
      <c r="X123" s="2136"/>
    </row>
    <row r="124" spans="1:24" ht="11.25" hidden="1" customHeight="1" x14ac:dyDescent="0.25">
      <c r="A124" s="942">
        <v>0</v>
      </c>
      <c r="B124" s="279"/>
      <c r="C124" s="2057"/>
      <c r="D124" s="2057"/>
      <c r="E124" s="2060"/>
      <c r="F124" s="2059"/>
      <c r="G124" s="2057"/>
      <c r="H124" s="2058"/>
      <c r="I124" s="2060"/>
      <c r="J124" s="1930">
        <v>0</v>
      </c>
      <c r="K124" s="755">
        <v>0</v>
      </c>
      <c r="L124" s="1931">
        <v>0</v>
      </c>
      <c r="M124" s="1264"/>
      <c r="N124" s="2059"/>
      <c r="O124" s="2057"/>
      <c r="P124" s="2058"/>
      <c r="Q124" s="757">
        <v>0</v>
      </c>
      <c r="R124" s="2059"/>
      <c r="S124" s="2057"/>
      <c r="T124" s="2060"/>
      <c r="U124" s="2134">
        <v>0</v>
      </c>
      <c r="V124" s="2060"/>
      <c r="W124" s="2057"/>
      <c r="X124" s="2136"/>
    </row>
    <row r="125" spans="1:24" ht="11.25" hidden="1" customHeight="1" x14ac:dyDescent="0.25">
      <c r="A125" s="942">
        <v>0</v>
      </c>
      <c r="B125" s="279"/>
      <c r="C125" s="2057"/>
      <c r="D125" s="2057"/>
      <c r="E125" s="2060"/>
      <c r="F125" s="2059"/>
      <c r="G125" s="2057"/>
      <c r="H125" s="2058"/>
      <c r="I125" s="2060"/>
      <c r="J125" s="1930">
        <v>0</v>
      </c>
      <c r="K125" s="755">
        <v>0</v>
      </c>
      <c r="L125" s="1931">
        <v>0</v>
      </c>
      <c r="M125" s="1264"/>
      <c r="N125" s="2059"/>
      <c r="O125" s="2057"/>
      <c r="P125" s="2058"/>
      <c r="Q125" s="757">
        <v>0</v>
      </c>
      <c r="R125" s="2059"/>
      <c r="S125" s="2057"/>
      <c r="T125" s="2060"/>
      <c r="U125" s="2134">
        <v>0</v>
      </c>
      <c r="V125" s="2060"/>
      <c r="W125" s="2057"/>
      <c r="X125" s="2136"/>
    </row>
    <row r="126" spans="1:24" ht="11.25" hidden="1" customHeight="1" x14ac:dyDescent="0.25">
      <c r="A126" s="942">
        <v>0</v>
      </c>
      <c r="B126" s="279"/>
      <c r="C126" s="2057"/>
      <c r="D126" s="2057"/>
      <c r="E126" s="2060"/>
      <c r="F126" s="2059"/>
      <c r="G126" s="2057"/>
      <c r="H126" s="2058"/>
      <c r="I126" s="2060"/>
      <c r="J126" s="1930">
        <v>0</v>
      </c>
      <c r="K126" s="755">
        <v>0</v>
      </c>
      <c r="L126" s="1931">
        <v>0</v>
      </c>
      <c r="M126" s="1264"/>
      <c r="N126" s="2059"/>
      <c r="O126" s="2057"/>
      <c r="P126" s="2058"/>
      <c r="Q126" s="757">
        <v>0</v>
      </c>
      <c r="R126" s="2059"/>
      <c r="S126" s="2057"/>
      <c r="T126" s="2060"/>
      <c r="U126" s="2134">
        <v>0</v>
      </c>
      <c r="V126" s="2060"/>
      <c r="W126" s="2057"/>
      <c r="X126" s="2136"/>
    </row>
    <row r="127" spans="1:24" ht="15" hidden="1" customHeight="1" x14ac:dyDescent="0.25">
      <c r="A127" s="941" t="s">
        <v>2493</v>
      </c>
      <c r="B127" s="279"/>
      <c r="C127" s="755">
        <v>0</v>
      </c>
      <c r="D127" s="755">
        <v>0</v>
      </c>
      <c r="E127" s="758">
        <v>0</v>
      </c>
      <c r="F127" s="757">
        <v>0</v>
      </c>
      <c r="G127" s="755">
        <v>0</v>
      </c>
      <c r="H127" s="758">
        <v>0</v>
      </c>
      <c r="I127" s="756">
        <v>0</v>
      </c>
      <c r="J127" s="1930">
        <v>0</v>
      </c>
      <c r="K127" s="755">
        <v>0</v>
      </c>
      <c r="L127" s="1931">
        <v>0</v>
      </c>
      <c r="M127" s="1264"/>
      <c r="N127" s="757">
        <v>0</v>
      </c>
      <c r="O127" s="755">
        <v>0</v>
      </c>
      <c r="P127" s="758">
        <v>0</v>
      </c>
      <c r="Q127" s="757">
        <v>0</v>
      </c>
      <c r="R127" s="757">
        <v>0</v>
      </c>
      <c r="S127" s="755">
        <v>0</v>
      </c>
      <c r="T127" s="2133">
        <v>0</v>
      </c>
      <c r="U127" s="2134">
        <v>0</v>
      </c>
      <c r="V127" s="2138">
        <v>0</v>
      </c>
      <c r="W127" s="755">
        <v>0</v>
      </c>
      <c r="X127" s="1931">
        <v>0</v>
      </c>
    </row>
    <row r="128" spans="1:24" ht="11.25" hidden="1" customHeight="1" x14ac:dyDescent="0.25">
      <c r="A128" s="942" t="s">
        <v>2036</v>
      </c>
      <c r="B128" s="279"/>
      <c r="C128" s="2057"/>
      <c r="D128" s="2057"/>
      <c r="E128" s="2060"/>
      <c r="F128" s="2059"/>
      <c r="G128" s="2057"/>
      <c r="H128" s="2058"/>
      <c r="I128" s="2060"/>
      <c r="J128" s="1930">
        <v>0</v>
      </c>
      <c r="K128" s="755">
        <v>0</v>
      </c>
      <c r="L128" s="1931">
        <v>0</v>
      </c>
      <c r="M128" s="1264"/>
      <c r="N128" s="2059"/>
      <c r="O128" s="2057"/>
      <c r="P128" s="2058"/>
      <c r="Q128" s="757">
        <v>0</v>
      </c>
      <c r="R128" s="2059"/>
      <c r="S128" s="2057"/>
      <c r="T128" s="2060"/>
      <c r="U128" s="2134">
        <v>0</v>
      </c>
      <c r="V128" s="2060"/>
      <c r="W128" s="2057"/>
      <c r="X128" s="2136"/>
    </row>
    <row r="129" spans="1:24" ht="11.25" hidden="1" customHeight="1" x14ac:dyDescent="0.25">
      <c r="A129" s="942">
        <v>0</v>
      </c>
      <c r="B129" s="279"/>
      <c r="C129" s="2057"/>
      <c r="D129" s="2057"/>
      <c r="E129" s="2060"/>
      <c r="F129" s="2059"/>
      <c r="G129" s="2057"/>
      <c r="H129" s="2058"/>
      <c r="I129" s="2060"/>
      <c r="J129" s="1930">
        <v>0</v>
      </c>
      <c r="K129" s="755">
        <v>0</v>
      </c>
      <c r="L129" s="1931">
        <v>0</v>
      </c>
      <c r="M129" s="1264"/>
      <c r="N129" s="2059"/>
      <c r="O129" s="2057"/>
      <c r="P129" s="2058"/>
      <c r="Q129" s="757">
        <v>0</v>
      </c>
      <c r="R129" s="2059"/>
      <c r="S129" s="2057"/>
      <c r="T129" s="2060"/>
      <c r="U129" s="2134">
        <v>0</v>
      </c>
      <c r="V129" s="2060"/>
      <c r="W129" s="2057"/>
      <c r="X129" s="2136"/>
    </row>
    <row r="130" spans="1:24" ht="11.25" hidden="1" customHeight="1" x14ac:dyDescent="0.25">
      <c r="A130" s="942">
        <v>0</v>
      </c>
      <c r="B130" s="279"/>
      <c r="C130" s="2057"/>
      <c r="D130" s="2057"/>
      <c r="E130" s="2060"/>
      <c r="F130" s="2059"/>
      <c r="G130" s="2057"/>
      <c r="H130" s="2058"/>
      <c r="I130" s="2060"/>
      <c r="J130" s="1930">
        <v>0</v>
      </c>
      <c r="K130" s="755">
        <v>0</v>
      </c>
      <c r="L130" s="1931">
        <v>0</v>
      </c>
      <c r="M130" s="1264"/>
      <c r="N130" s="2059"/>
      <c r="O130" s="2057"/>
      <c r="P130" s="2058"/>
      <c r="Q130" s="757">
        <v>0</v>
      </c>
      <c r="R130" s="2059"/>
      <c r="S130" s="2057"/>
      <c r="T130" s="2060"/>
      <c r="U130" s="2134">
        <v>0</v>
      </c>
      <c r="V130" s="2060"/>
      <c r="W130" s="2057"/>
      <c r="X130" s="2136"/>
    </row>
    <row r="131" spans="1:24" ht="11.25" hidden="1" customHeight="1" x14ac:dyDescent="0.25">
      <c r="A131" s="942">
        <v>0</v>
      </c>
      <c r="B131" s="279"/>
      <c r="C131" s="2057"/>
      <c r="D131" s="2057"/>
      <c r="E131" s="2060"/>
      <c r="F131" s="2059"/>
      <c r="G131" s="2057"/>
      <c r="H131" s="2058"/>
      <c r="I131" s="2060"/>
      <c r="J131" s="1930">
        <v>0</v>
      </c>
      <c r="K131" s="755">
        <v>0</v>
      </c>
      <c r="L131" s="1931">
        <v>0</v>
      </c>
      <c r="M131" s="1264"/>
      <c r="N131" s="2059"/>
      <c r="O131" s="2057"/>
      <c r="P131" s="2058"/>
      <c r="Q131" s="757">
        <v>0</v>
      </c>
      <c r="R131" s="2059"/>
      <c r="S131" s="2057"/>
      <c r="T131" s="2060"/>
      <c r="U131" s="2134">
        <v>0</v>
      </c>
      <c r="V131" s="2060"/>
      <c r="W131" s="2057"/>
      <c r="X131" s="2136"/>
    </row>
    <row r="132" spans="1:24" ht="11.25" hidden="1" customHeight="1" x14ac:dyDescent="0.25">
      <c r="A132" s="942">
        <v>0</v>
      </c>
      <c r="B132" s="279"/>
      <c r="C132" s="2057"/>
      <c r="D132" s="2057"/>
      <c r="E132" s="2060"/>
      <c r="F132" s="2059"/>
      <c r="G132" s="2057"/>
      <c r="H132" s="2058"/>
      <c r="I132" s="2060"/>
      <c r="J132" s="1930">
        <v>0</v>
      </c>
      <c r="K132" s="755">
        <v>0</v>
      </c>
      <c r="L132" s="1931">
        <v>0</v>
      </c>
      <c r="M132" s="1264"/>
      <c r="N132" s="2059"/>
      <c r="O132" s="2057"/>
      <c r="P132" s="2058"/>
      <c r="Q132" s="757">
        <v>0</v>
      </c>
      <c r="R132" s="2059"/>
      <c r="S132" s="2057"/>
      <c r="T132" s="2060"/>
      <c r="U132" s="2134">
        <v>0</v>
      </c>
      <c r="V132" s="2060"/>
      <c r="W132" s="2057"/>
      <c r="X132" s="2136"/>
    </row>
    <row r="133" spans="1:24" ht="11.25" hidden="1" customHeight="1" x14ac:dyDescent="0.25">
      <c r="A133" s="942">
        <v>0</v>
      </c>
      <c r="B133" s="279"/>
      <c r="C133" s="2057"/>
      <c r="D133" s="2057"/>
      <c r="E133" s="2060"/>
      <c r="F133" s="2059"/>
      <c r="G133" s="2057"/>
      <c r="H133" s="2058"/>
      <c r="I133" s="2060"/>
      <c r="J133" s="1930">
        <v>0</v>
      </c>
      <c r="K133" s="755">
        <v>0</v>
      </c>
      <c r="L133" s="1931">
        <v>0</v>
      </c>
      <c r="M133" s="1264"/>
      <c r="N133" s="2059"/>
      <c r="O133" s="2057"/>
      <c r="P133" s="2058"/>
      <c r="Q133" s="757">
        <v>0</v>
      </c>
      <c r="R133" s="2059"/>
      <c r="S133" s="2057"/>
      <c r="T133" s="2060"/>
      <c r="U133" s="2134">
        <v>0</v>
      </c>
      <c r="V133" s="2060"/>
      <c r="W133" s="2057"/>
      <c r="X133" s="2136"/>
    </row>
    <row r="134" spans="1:24" ht="11.25" hidden="1" customHeight="1" x14ac:dyDescent="0.25">
      <c r="A134" s="942">
        <v>0</v>
      </c>
      <c r="B134" s="279"/>
      <c r="C134" s="2057"/>
      <c r="D134" s="2057"/>
      <c r="E134" s="2060"/>
      <c r="F134" s="2059"/>
      <c r="G134" s="2057"/>
      <c r="H134" s="2058"/>
      <c r="I134" s="2060"/>
      <c r="J134" s="1930">
        <v>0</v>
      </c>
      <c r="K134" s="755">
        <v>0</v>
      </c>
      <c r="L134" s="1931">
        <v>0</v>
      </c>
      <c r="M134" s="1264"/>
      <c r="N134" s="2059"/>
      <c r="O134" s="2057"/>
      <c r="P134" s="2058"/>
      <c r="Q134" s="757">
        <v>0</v>
      </c>
      <c r="R134" s="2059"/>
      <c r="S134" s="2057"/>
      <c r="T134" s="2060"/>
      <c r="U134" s="2134">
        <v>0</v>
      </c>
      <c r="V134" s="2060"/>
      <c r="W134" s="2057"/>
      <c r="X134" s="2136"/>
    </row>
    <row r="135" spans="1:24" ht="11.25" hidden="1" customHeight="1" x14ac:dyDescent="0.25">
      <c r="A135" s="942">
        <v>0</v>
      </c>
      <c r="B135" s="279"/>
      <c r="C135" s="2057"/>
      <c r="D135" s="2057"/>
      <c r="E135" s="2060"/>
      <c r="F135" s="2059"/>
      <c r="G135" s="2057"/>
      <c r="H135" s="2058"/>
      <c r="I135" s="2060"/>
      <c r="J135" s="1930">
        <v>0</v>
      </c>
      <c r="K135" s="755">
        <v>0</v>
      </c>
      <c r="L135" s="1931">
        <v>0</v>
      </c>
      <c r="M135" s="1264"/>
      <c r="N135" s="2059"/>
      <c r="O135" s="2057"/>
      <c r="P135" s="2058"/>
      <c r="Q135" s="757">
        <v>0</v>
      </c>
      <c r="R135" s="2059"/>
      <c r="S135" s="2057"/>
      <c r="T135" s="2060"/>
      <c r="U135" s="2134">
        <v>0</v>
      </c>
      <c r="V135" s="2060"/>
      <c r="W135" s="2057"/>
      <c r="X135" s="2136"/>
    </row>
    <row r="136" spans="1:24" ht="11.25" hidden="1" customHeight="1" x14ac:dyDescent="0.25">
      <c r="A136" s="942">
        <v>0</v>
      </c>
      <c r="B136" s="279"/>
      <c r="C136" s="2057"/>
      <c r="D136" s="2057"/>
      <c r="E136" s="2060"/>
      <c r="F136" s="2059"/>
      <c r="G136" s="2057"/>
      <c r="H136" s="2058"/>
      <c r="I136" s="2060"/>
      <c r="J136" s="1930">
        <v>0</v>
      </c>
      <c r="K136" s="755">
        <v>0</v>
      </c>
      <c r="L136" s="1931">
        <v>0</v>
      </c>
      <c r="M136" s="1264"/>
      <c r="N136" s="2059"/>
      <c r="O136" s="2057"/>
      <c r="P136" s="2058"/>
      <c r="Q136" s="757">
        <v>0</v>
      </c>
      <c r="R136" s="2059"/>
      <c r="S136" s="2057"/>
      <c r="T136" s="2060"/>
      <c r="U136" s="2134">
        <v>0</v>
      </c>
      <c r="V136" s="2060"/>
      <c r="W136" s="2057"/>
      <c r="X136" s="2136"/>
    </row>
    <row r="137" spans="1:24" ht="11.25" hidden="1" customHeight="1" x14ac:dyDescent="0.25">
      <c r="A137" s="942">
        <v>0</v>
      </c>
      <c r="B137" s="279"/>
      <c r="C137" s="2057"/>
      <c r="D137" s="2057"/>
      <c r="E137" s="2060"/>
      <c r="F137" s="2059"/>
      <c r="G137" s="2057"/>
      <c r="H137" s="2058"/>
      <c r="I137" s="2060"/>
      <c r="J137" s="1930">
        <v>0</v>
      </c>
      <c r="K137" s="755">
        <v>0</v>
      </c>
      <c r="L137" s="1931">
        <v>0</v>
      </c>
      <c r="M137" s="1264"/>
      <c r="N137" s="2059"/>
      <c r="O137" s="2057"/>
      <c r="P137" s="2058"/>
      <c r="Q137" s="757">
        <v>0</v>
      </c>
      <c r="R137" s="2059"/>
      <c r="S137" s="2057"/>
      <c r="T137" s="2060"/>
      <c r="U137" s="2134">
        <v>0</v>
      </c>
      <c r="V137" s="2060"/>
      <c r="W137" s="2057"/>
      <c r="X137" s="2136"/>
    </row>
    <row r="138" spans="1:24" ht="15" hidden="1" customHeight="1" x14ac:dyDescent="0.25">
      <c r="A138" s="941" t="s">
        <v>2494</v>
      </c>
      <c r="B138" s="279"/>
      <c r="C138" s="755">
        <v>0</v>
      </c>
      <c r="D138" s="755">
        <v>0</v>
      </c>
      <c r="E138" s="758">
        <v>0</v>
      </c>
      <c r="F138" s="757">
        <v>0</v>
      </c>
      <c r="G138" s="755">
        <v>0</v>
      </c>
      <c r="H138" s="758">
        <v>0</v>
      </c>
      <c r="I138" s="756">
        <v>0</v>
      </c>
      <c r="J138" s="1930">
        <v>0</v>
      </c>
      <c r="K138" s="755">
        <v>0</v>
      </c>
      <c r="L138" s="1931">
        <v>0</v>
      </c>
      <c r="M138" s="1264"/>
      <c r="N138" s="757">
        <v>0</v>
      </c>
      <c r="O138" s="755">
        <v>0</v>
      </c>
      <c r="P138" s="758">
        <v>0</v>
      </c>
      <c r="Q138" s="757">
        <v>0</v>
      </c>
      <c r="R138" s="757">
        <v>0</v>
      </c>
      <c r="S138" s="755">
        <v>0</v>
      </c>
      <c r="T138" s="2133">
        <v>0</v>
      </c>
      <c r="U138" s="2134">
        <v>0</v>
      </c>
      <c r="V138" s="2138">
        <v>0</v>
      </c>
      <c r="W138" s="755">
        <v>0</v>
      </c>
      <c r="X138" s="1931">
        <v>0</v>
      </c>
    </row>
    <row r="139" spans="1:24" ht="11.25" hidden="1" customHeight="1" x14ac:dyDescent="0.25">
      <c r="A139" s="942" t="s">
        <v>2037</v>
      </c>
      <c r="B139" s="279"/>
      <c r="C139" s="2057"/>
      <c r="D139" s="2057"/>
      <c r="E139" s="2060"/>
      <c r="F139" s="2059"/>
      <c r="G139" s="2057"/>
      <c r="H139" s="2058"/>
      <c r="I139" s="2060"/>
      <c r="J139" s="1930">
        <v>0</v>
      </c>
      <c r="K139" s="755">
        <v>0</v>
      </c>
      <c r="L139" s="1931">
        <v>0</v>
      </c>
      <c r="M139" s="1264"/>
      <c r="N139" s="2059"/>
      <c r="O139" s="2057"/>
      <c r="P139" s="2058"/>
      <c r="Q139" s="757">
        <v>0</v>
      </c>
      <c r="R139" s="2059"/>
      <c r="S139" s="2057"/>
      <c r="T139" s="2060"/>
      <c r="U139" s="2134">
        <v>0</v>
      </c>
      <c r="V139" s="2060"/>
      <c r="W139" s="2057"/>
      <c r="X139" s="2136"/>
    </row>
    <row r="140" spans="1:24" ht="11.25" hidden="1" customHeight="1" x14ac:dyDescent="0.25">
      <c r="A140" s="942">
        <v>0</v>
      </c>
      <c r="B140" s="279"/>
      <c r="C140" s="2057"/>
      <c r="D140" s="2057"/>
      <c r="E140" s="2060"/>
      <c r="F140" s="2059"/>
      <c r="G140" s="2057"/>
      <c r="H140" s="2058"/>
      <c r="I140" s="2060"/>
      <c r="J140" s="1930">
        <v>0</v>
      </c>
      <c r="K140" s="755">
        <v>0</v>
      </c>
      <c r="L140" s="1931">
        <v>0</v>
      </c>
      <c r="M140" s="1264"/>
      <c r="N140" s="2059"/>
      <c r="O140" s="2057"/>
      <c r="P140" s="2058"/>
      <c r="Q140" s="757">
        <v>0</v>
      </c>
      <c r="R140" s="2059"/>
      <c r="S140" s="2057"/>
      <c r="T140" s="2060"/>
      <c r="U140" s="2134">
        <v>0</v>
      </c>
      <c r="V140" s="2060"/>
      <c r="W140" s="2057"/>
      <c r="X140" s="2136"/>
    </row>
    <row r="141" spans="1:24" ht="11.25" hidden="1" customHeight="1" x14ac:dyDescent="0.25">
      <c r="A141" s="942">
        <v>0</v>
      </c>
      <c r="B141" s="279"/>
      <c r="C141" s="2057"/>
      <c r="D141" s="2057"/>
      <c r="E141" s="2060"/>
      <c r="F141" s="2059"/>
      <c r="G141" s="2057"/>
      <c r="H141" s="2058"/>
      <c r="I141" s="2060"/>
      <c r="J141" s="1930">
        <v>0</v>
      </c>
      <c r="K141" s="755">
        <v>0</v>
      </c>
      <c r="L141" s="1931">
        <v>0</v>
      </c>
      <c r="M141" s="1264"/>
      <c r="N141" s="2059"/>
      <c r="O141" s="2057"/>
      <c r="P141" s="2058"/>
      <c r="Q141" s="757">
        <v>0</v>
      </c>
      <c r="R141" s="2059"/>
      <c r="S141" s="2057"/>
      <c r="T141" s="2060"/>
      <c r="U141" s="2134">
        <v>0</v>
      </c>
      <c r="V141" s="2060"/>
      <c r="W141" s="2057"/>
      <c r="X141" s="2136"/>
    </row>
    <row r="142" spans="1:24" ht="11.25" hidden="1" customHeight="1" x14ac:dyDescent="0.25">
      <c r="A142" s="942">
        <v>0</v>
      </c>
      <c r="B142" s="279"/>
      <c r="C142" s="2057"/>
      <c r="D142" s="2057"/>
      <c r="E142" s="2060"/>
      <c r="F142" s="2059"/>
      <c r="G142" s="2057"/>
      <c r="H142" s="2058"/>
      <c r="I142" s="2060"/>
      <c r="J142" s="1930">
        <v>0</v>
      </c>
      <c r="K142" s="755">
        <v>0</v>
      </c>
      <c r="L142" s="1931">
        <v>0</v>
      </c>
      <c r="M142" s="1264"/>
      <c r="N142" s="2059"/>
      <c r="O142" s="2057"/>
      <c r="P142" s="2058"/>
      <c r="Q142" s="757">
        <v>0</v>
      </c>
      <c r="R142" s="2059"/>
      <c r="S142" s="2057"/>
      <c r="T142" s="2060"/>
      <c r="U142" s="2134">
        <v>0</v>
      </c>
      <c r="V142" s="2060"/>
      <c r="W142" s="2057"/>
      <c r="X142" s="2136"/>
    </row>
    <row r="143" spans="1:24" ht="11.25" hidden="1" customHeight="1" x14ac:dyDescent="0.25">
      <c r="A143" s="942">
        <v>0</v>
      </c>
      <c r="B143" s="279"/>
      <c r="C143" s="2057"/>
      <c r="D143" s="2057"/>
      <c r="E143" s="2060"/>
      <c r="F143" s="2059"/>
      <c r="G143" s="2057"/>
      <c r="H143" s="2058"/>
      <c r="I143" s="2060"/>
      <c r="J143" s="1930">
        <v>0</v>
      </c>
      <c r="K143" s="755">
        <v>0</v>
      </c>
      <c r="L143" s="1931">
        <v>0</v>
      </c>
      <c r="M143" s="1264"/>
      <c r="N143" s="2059"/>
      <c r="O143" s="2057"/>
      <c r="P143" s="2058"/>
      <c r="Q143" s="757">
        <v>0</v>
      </c>
      <c r="R143" s="2059"/>
      <c r="S143" s="2057"/>
      <c r="T143" s="2060"/>
      <c r="U143" s="2134">
        <v>0</v>
      </c>
      <c r="V143" s="2060"/>
      <c r="W143" s="2057"/>
      <c r="X143" s="2136"/>
    </row>
    <row r="144" spans="1:24" ht="11.25" hidden="1" customHeight="1" x14ac:dyDescent="0.25">
      <c r="A144" s="942">
        <v>0</v>
      </c>
      <c r="B144" s="279"/>
      <c r="C144" s="2057"/>
      <c r="D144" s="2057"/>
      <c r="E144" s="2060"/>
      <c r="F144" s="2059"/>
      <c r="G144" s="2057"/>
      <c r="H144" s="2058"/>
      <c r="I144" s="2060"/>
      <c r="J144" s="1930">
        <v>0</v>
      </c>
      <c r="K144" s="755">
        <v>0</v>
      </c>
      <c r="L144" s="1931">
        <v>0</v>
      </c>
      <c r="M144" s="1264"/>
      <c r="N144" s="2059"/>
      <c r="O144" s="2057"/>
      <c r="P144" s="2058"/>
      <c r="Q144" s="757">
        <v>0</v>
      </c>
      <c r="R144" s="2059"/>
      <c r="S144" s="2057"/>
      <c r="T144" s="2060"/>
      <c r="U144" s="2134">
        <v>0</v>
      </c>
      <c r="V144" s="2060"/>
      <c r="W144" s="2057"/>
      <c r="X144" s="2136"/>
    </row>
    <row r="145" spans="1:24" ht="11.25" hidden="1" customHeight="1" x14ac:dyDescent="0.25">
      <c r="A145" s="942">
        <v>0</v>
      </c>
      <c r="B145" s="279"/>
      <c r="C145" s="2057"/>
      <c r="D145" s="2057"/>
      <c r="E145" s="2060"/>
      <c r="F145" s="2059"/>
      <c r="G145" s="2057"/>
      <c r="H145" s="2058"/>
      <c r="I145" s="2060"/>
      <c r="J145" s="1930">
        <v>0</v>
      </c>
      <c r="K145" s="755">
        <v>0</v>
      </c>
      <c r="L145" s="1931">
        <v>0</v>
      </c>
      <c r="M145" s="1264"/>
      <c r="N145" s="2059"/>
      <c r="O145" s="2057"/>
      <c r="P145" s="2058"/>
      <c r="Q145" s="757">
        <v>0</v>
      </c>
      <c r="R145" s="2059"/>
      <c r="S145" s="2057"/>
      <c r="T145" s="2060"/>
      <c r="U145" s="2134">
        <v>0</v>
      </c>
      <c r="V145" s="2060"/>
      <c r="W145" s="2057"/>
      <c r="X145" s="2136"/>
    </row>
    <row r="146" spans="1:24" ht="11.25" hidden="1" customHeight="1" x14ac:dyDescent="0.25">
      <c r="A146" s="942">
        <v>0</v>
      </c>
      <c r="B146" s="279"/>
      <c r="C146" s="2057"/>
      <c r="D146" s="2057"/>
      <c r="E146" s="2060"/>
      <c r="F146" s="2059"/>
      <c r="G146" s="2057"/>
      <c r="H146" s="2058"/>
      <c r="I146" s="2060"/>
      <c r="J146" s="1930">
        <v>0</v>
      </c>
      <c r="K146" s="755">
        <v>0</v>
      </c>
      <c r="L146" s="1931">
        <v>0</v>
      </c>
      <c r="M146" s="1264"/>
      <c r="N146" s="2059"/>
      <c r="O146" s="2057"/>
      <c r="P146" s="2058"/>
      <c r="Q146" s="757">
        <v>0</v>
      </c>
      <c r="R146" s="2059"/>
      <c r="S146" s="2057"/>
      <c r="T146" s="2060"/>
      <c r="U146" s="2134">
        <v>0</v>
      </c>
      <c r="V146" s="2060"/>
      <c r="W146" s="2057"/>
      <c r="X146" s="2136"/>
    </row>
    <row r="147" spans="1:24" ht="11.25" hidden="1" customHeight="1" x14ac:dyDescent="0.25">
      <c r="A147" s="942">
        <v>0</v>
      </c>
      <c r="B147" s="279"/>
      <c r="C147" s="2057"/>
      <c r="D147" s="2057"/>
      <c r="E147" s="2060"/>
      <c r="F147" s="2059"/>
      <c r="G147" s="2057"/>
      <c r="H147" s="2058"/>
      <c r="I147" s="2060"/>
      <c r="J147" s="1930">
        <v>0</v>
      </c>
      <c r="K147" s="755">
        <v>0</v>
      </c>
      <c r="L147" s="1931">
        <v>0</v>
      </c>
      <c r="M147" s="1264"/>
      <c r="N147" s="2059"/>
      <c r="O147" s="2057"/>
      <c r="P147" s="2058"/>
      <c r="Q147" s="757">
        <v>0</v>
      </c>
      <c r="R147" s="2059"/>
      <c r="S147" s="2057"/>
      <c r="T147" s="2060"/>
      <c r="U147" s="2134">
        <v>0</v>
      </c>
      <c r="V147" s="2060"/>
      <c r="W147" s="2057"/>
      <c r="X147" s="2136"/>
    </row>
    <row r="148" spans="1:24" ht="11.25" hidden="1" customHeight="1" x14ac:dyDescent="0.25">
      <c r="A148" s="942">
        <v>0</v>
      </c>
      <c r="B148" s="279"/>
      <c r="C148" s="2057"/>
      <c r="D148" s="2057"/>
      <c r="E148" s="2060"/>
      <c r="F148" s="2059"/>
      <c r="G148" s="2057"/>
      <c r="H148" s="2058"/>
      <c r="I148" s="2060"/>
      <c r="J148" s="1930">
        <v>0</v>
      </c>
      <c r="K148" s="755">
        <v>0</v>
      </c>
      <c r="L148" s="1931">
        <v>0</v>
      </c>
      <c r="M148" s="1264"/>
      <c r="N148" s="2059"/>
      <c r="O148" s="2057"/>
      <c r="P148" s="2058"/>
      <c r="Q148" s="757">
        <v>0</v>
      </c>
      <c r="R148" s="2059"/>
      <c r="S148" s="2057"/>
      <c r="T148" s="2060"/>
      <c r="U148" s="2134">
        <v>0</v>
      </c>
      <c r="V148" s="2060"/>
      <c r="W148" s="2057"/>
      <c r="X148" s="2136"/>
    </row>
    <row r="149" spans="1:24" ht="15" hidden="1" customHeight="1" x14ac:dyDescent="0.25">
      <c r="A149" s="941" t="s">
        <v>2495</v>
      </c>
      <c r="B149" s="279"/>
      <c r="C149" s="755">
        <v>0</v>
      </c>
      <c r="D149" s="755">
        <v>0</v>
      </c>
      <c r="E149" s="758">
        <v>0</v>
      </c>
      <c r="F149" s="757">
        <v>0</v>
      </c>
      <c r="G149" s="755">
        <v>0</v>
      </c>
      <c r="H149" s="758">
        <v>0</v>
      </c>
      <c r="I149" s="756">
        <v>0</v>
      </c>
      <c r="J149" s="1930">
        <v>0</v>
      </c>
      <c r="K149" s="755">
        <v>0</v>
      </c>
      <c r="L149" s="1931">
        <v>0</v>
      </c>
      <c r="M149" s="1264"/>
      <c r="N149" s="757">
        <v>0</v>
      </c>
      <c r="O149" s="755">
        <v>0</v>
      </c>
      <c r="P149" s="758">
        <v>0</v>
      </c>
      <c r="Q149" s="757">
        <v>0</v>
      </c>
      <c r="R149" s="757">
        <v>0</v>
      </c>
      <c r="S149" s="755">
        <v>0</v>
      </c>
      <c r="T149" s="2133">
        <v>0</v>
      </c>
      <c r="U149" s="2134">
        <v>0</v>
      </c>
      <c r="V149" s="2138">
        <v>0</v>
      </c>
      <c r="W149" s="755">
        <v>0</v>
      </c>
      <c r="X149" s="1931">
        <v>0</v>
      </c>
    </row>
    <row r="150" spans="1:24" ht="11.25" hidden="1" customHeight="1" x14ac:dyDescent="0.25">
      <c r="A150" s="942" t="s">
        <v>2038</v>
      </c>
      <c r="B150" s="279"/>
      <c r="C150" s="2057"/>
      <c r="D150" s="2057"/>
      <c r="E150" s="2060"/>
      <c r="F150" s="2059"/>
      <c r="G150" s="2057"/>
      <c r="H150" s="2058"/>
      <c r="I150" s="2060"/>
      <c r="J150" s="1930">
        <v>0</v>
      </c>
      <c r="K150" s="755">
        <v>0</v>
      </c>
      <c r="L150" s="1931">
        <v>0</v>
      </c>
      <c r="M150" s="1264"/>
      <c r="N150" s="2059"/>
      <c r="O150" s="2057"/>
      <c r="P150" s="2058"/>
      <c r="Q150" s="757">
        <v>0</v>
      </c>
      <c r="R150" s="2059"/>
      <c r="S150" s="2057"/>
      <c r="T150" s="2060"/>
      <c r="U150" s="2134">
        <v>0</v>
      </c>
      <c r="V150" s="2060"/>
      <c r="W150" s="2057"/>
      <c r="X150" s="2136"/>
    </row>
    <row r="151" spans="1:24" ht="11.25" hidden="1" customHeight="1" x14ac:dyDescent="0.25">
      <c r="A151" s="942">
        <v>0</v>
      </c>
      <c r="B151" s="279"/>
      <c r="C151" s="2057"/>
      <c r="D151" s="2057"/>
      <c r="E151" s="2060"/>
      <c r="F151" s="2059"/>
      <c r="G151" s="2057"/>
      <c r="H151" s="2058"/>
      <c r="I151" s="2060"/>
      <c r="J151" s="1930">
        <v>0</v>
      </c>
      <c r="K151" s="755">
        <v>0</v>
      </c>
      <c r="L151" s="1931">
        <v>0</v>
      </c>
      <c r="M151" s="1264"/>
      <c r="N151" s="2059"/>
      <c r="O151" s="2057"/>
      <c r="P151" s="2058"/>
      <c r="Q151" s="757">
        <v>0</v>
      </c>
      <c r="R151" s="2059"/>
      <c r="S151" s="2057"/>
      <c r="T151" s="2060"/>
      <c r="U151" s="2134">
        <v>0</v>
      </c>
      <c r="V151" s="2060"/>
      <c r="W151" s="2057"/>
      <c r="X151" s="2136"/>
    </row>
    <row r="152" spans="1:24" ht="11.25" hidden="1" customHeight="1" x14ac:dyDescent="0.25">
      <c r="A152" s="942">
        <v>0</v>
      </c>
      <c r="B152" s="279"/>
      <c r="C152" s="2057"/>
      <c r="D152" s="2057"/>
      <c r="E152" s="2060"/>
      <c r="F152" s="2059"/>
      <c r="G152" s="2057"/>
      <c r="H152" s="2058"/>
      <c r="I152" s="2060"/>
      <c r="J152" s="1930">
        <v>0</v>
      </c>
      <c r="K152" s="755">
        <v>0</v>
      </c>
      <c r="L152" s="1931">
        <v>0</v>
      </c>
      <c r="M152" s="1264"/>
      <c r="N152" s="2059"/>
      <c r="O152" s="2057"/>
      <c r="P152" s="2058"/>
      <c r="Q152" s="757">
        <v>0</v>
      </c>
      <c r="R152" s="2059"/>
      <c r="S152" s="2057"/>
      <c r="T152" s="2060"/>
      <c r="U152" s="2134">
        <v>0</v>
      </c>
      <c r="V152" s="2060"/>
      <c r="W152" s="2057"/>
      <c r="X152" s="2136"/>
    </row>
    <row r="153" spans="1:24" ht="11.25" hidden="1" customHeight="1" x14ac:dyDescent="0.25">
      <c r="A153" s="942">
        <v>0</v>
      </c>
      <c r="B153" s="279"/>
      <c r="C153" s="2057"/>
      <c r="D153" s="2057"/>
      <c r="E153" s="2060"/>
      <c r="F153" s="2059"/>
      <c r="G153" s="2057"/>
      <c r="H153" s="2058"/>
      <c r="I153" s="2060"/>
      <c r="J153" s="1930">
        <v>0</v>
      </c>
      <c r="K153" s="755">
        <v>0</v>
      </c>
      <c r="L153" s="1931">
        <v>0</v>
      </c>
      <c r="M153" s="1264"/>
      <c r="N153" s="2059"/>
      <c r="O153" s="2057"/>
      <c r="P153" s="2058"/>
      <c r="Q153" s="757">
        <v>0</v>
      </c>
      <c r="R153" s="2059"/>
      <c r="S153" s="2057"/>
      <c r="T153" s="2060"/>
      <c r="U153" s="2134">
        <v>0</v>
      </c>
      <c r="V153" s="2060"/>
      <c r="W153" s="2057"/>
      <c r="X153" s="2136"/>
    </row>
    <row r="154" spans="1:24" ht="11.25" hidden="1" customHeight="1" x14ac:dyDescent="0.25">
      <c r="A154" s="942">
        <v>0</v>
      </c>
      <c r="B154" s="279"/>
      <c r="C154" s="2057"/>
      <c r="D154" s="2057"/>
      <c r="E154" s="2060"/>
      <c r="F154" s="2059"/>
      <c r="G154" s="2057"/>
      <c r="H154" s="2058"/>
      <c r="I154" s="2060"/>
      <c r="J154" s="1930">
        <v>0</v>
      </c>
      <c r="K154" s="755">
        <v>0</v>
      </c>
      <c r="L154" s="1931">
        <v>0</v>
      </c>
      <c r="M154" s="1264"/>
      <c r="N154" s="2059"/>
      <c r="O154" s="2057"/>
      <c r="P154" s="2058"/>
      <c r="Q154" s="757">
        <v>0</v>
      </c>
      <c r="R154" s="2059"/>
      <c r="S154" s="2057"/>
      <c r="T154" s="2060"/>
      <c r="U154" s="2134">
        <v>0</v>
      </c>
      <c r="V154" s="2060"/>
      <c r="W154" s="2057"/>
      <c r="X154" s="2136"/>
    </row>
    <row r="155" spans="1:24" ht="11.25" hidden="1" customHeight="1" x14ac:dyDescent="0.25">
      <c r="A155" s="942">
        <v>0</v>
      </c>
      <c r="B155" s="279"/>
      <c r="C155" s="2057"/>
      <c r="D155" s="2057"/>
      <c r="E155" s="2060"/>
      <c r="F155" s="2059"/>
      <c r="G155" s="2057"/>
      <c r="H155" s="2058"/>
      <c r="I155" s="2060"/>
      <c r="J155" s="1930">
        <v>0</v>
      </c>
      <c r="K155" s="755">
        <v>0</v>
      </c>
      <c r="L155" s="1931">
        <v>0</v>
      </c>
      <c r="M155" s="1264"/>
      <c r="N155" s="2059"/>
      <c r="O155" s="2057"/>
      <c r="P155" s="2058"/>
      <c r="Q155" s="757">
        <v>0</v>
      </c>
      <c r="R155" s="2059"/>
      <c r="S155" s="2057"/>
      <c r="T155" s="2060"/>
      <c r="U155" s="2134">
        <v>0</v>
      </c>
      <c r="V155" s="2060"/>
      <c r="W155" s="2057"/>
      <c r="X155" s="2136"/>
    </row>
    <row r="156" spans="1:24" ht="11.25" hidden="1" customHeight="1" x14ac:dyDescent="0.25">
      <c r="A156" s="942">
        <v>0</v>
      </c>
      <c r="B156" s="279"/>
      <c r="C156" s="2057"/>
      <c r="D156" s="2057"/>
      <c r="E156" s="2060"/>
      <c r="F156" s="2059"/>
      <c r="G156" s="2057"/>
      <c r="H156" s="2058"/>
      <c r="I156" s="2060"/>
      <c r="J156" s="1930">
        <v>0</v>
      </c>
      <c r="K156" s="755">
        <v>0</v>
      </c>
      <c r="L156" s="1931">
        <v>0</v>
      </c>
      <c r="M156" s="1264"/>
      <c r="N156" s="2059"/>
      <c r="O156" s="2057"/>
      <c r="P156" s="2058"/>
      <c r="Q156" s="757">
        <v>0</v>
      </c>
      <c r="R156" s="2059"/>
      <c r="S156" s="2057"/>
      <c r="T156" s="2060"/>
      <c r="U156" s="2134">
        <v>0</v>
      </c>
      <c r="V156" s="2060"/>
      <c r="W156" s="2057"/>
      <c r="X156" s="2136"/>
    </row>
    <row r="157" spans="1:24" ht="11.25" hidden="1" customHeight="1" x14ac:dyDescent="0.25">
      <c r="A157" s="942">
        <v>0</v>
      </c>
      <c r="B157" s="279"/>
      <c r="C157" s="2057"/>
      <c r="D157" s="2057"/>
      <c r="E157" s="2060"/>
      <c r="F157" s="2059"/>
      <c r="G157" s="2057"/>
      <c r="H157" s="2058"/>
      <c r="I157" s="2060"/>
      <c r="J157" s="1930">
        <v>0</v>
      </c>
      <c r="K157" s="755">
        <v>0</v>
      </c>
      <c r="L157" s="1931">
        <v>0</v>
      </c>
      <c r="M157" s="1264"/>
      <c r="N157" s="2059"/>
      <c r="O157" s="2057"/>
      <c r="P157" s="2058"/>
      <c r="Q157" s="757">
        <v>0</v>
      </c>
      <c r="R157" s="2059"/>
      <c r="S157" s="2057"/>
      <c r="T157" s="2060"/>
      <c r="U157" s="2134">
        <v>0</v>
      </c>
      <c r="V157" s="2060"/>
      <c r="W157" s="2057"/>
      <c r="X157" s="2136"/>
    </row>
    <row r="158" spans="1:24" ht="11.25" hidden="1" customHeight="1" x14ac:dyDescent="0.25">
      <c r="A158" s="942">
        <v>0</v>
      </c>
      <c r="B158" s="279"/>
      <c r="C158" s="2057"/>
      <c r="D158" s="2057"/>
      <c r="E158" s="2060"/>
      <c r="F158" s="2059"/>
      <c r="G158" s="2057"/>
      <c r="H158" s="2058"/>
      <c r="I158" s="2060"/>
      <c r="J158" s="1930">
        <v>0</v>
      </c>
      <c r="K158" s="755">
        <v>0</v>
      </c>
      <c r="L158" s="1931">
        <v>0</v>
      </c>
      <c r="M158" s="1264"/>
      <c r="N158" s="2059"/>
      <c r="O158" s="2057"/>
      <c r="P158" s="2058"/>
      <c r="Q158" s="757">
        <v>0</v>
      </c>
      <c r="R158" s="2059"/>
      <c r="S158" s="2057"/>
      <c r="T158" s="2060"/>
      <c r="U158" s="2134">
        <v>0</v>
      </c>
      <c r="V158" s="2060"/>
      <c r="W158" s="2057"/>
      <c r="X158" s="2136"/>
    </row>
    <row r="159" spans="1:24" ht="11.25" hidden="1" customHeight="1" x14ac:dyDescent="0.25">
      <c r="A159" s="942">
        <v>0</v>
      </c>
      <c r="B159" s="279"/>
      <c r="C159" s="2057"/>
      <c r="D159" s="2057"/>
      <c r="E159" s="2060"/>
      <c r="F159" s="2059"/>
      <c r="G159" s="2057"/>
      <c r="H159" s="2058"/>
      <c r="I159" s="2060"/>
      <c r="J159" s="1930">
        <v>0</v>
      </c>
      <c r="K159" s="755">
        <v>0</v>
      </c>
      <c r="L159" s="1931">
        <v>0</v>
      </c>
      <c r="M159" s="1264"/>
      <c r="N159" s="2059"/>
      <c r="O159" s="2057"/>
      <c r="P159" s="2058"/>
      <c r="Q159" s="757">
        <v>0</v>
      </c>
      <c r="R159" s="2059"/>
      <c r="S159" s="2057"/>
      <c r="T159" s="2060"/>
      <c r="U159" s="2134">
        <v>0</v>
      </c>
      <c r="V159" s="2060"/>
      <c r="W159" s="2057"/>
      <c r="X159" s="2136"/>
    </row>
    <row r="160" spans="1:24" ht="15" hidden="1" customHeight="1" x14ac:dyDescent="0.25">
      <c r="A160" s="941" t="s">
        <v>2496</v>
      </c>
      <c r="B160" s="279"/>
      <c r="C160" s="755">
        <v>0</v>
      </c>
      <c r="D160" s="755">
        <v>0</v>
      </c>
      <c r="E160" s="758">
        <v>0</v>
      </c>
      <c r="F160" s="757">
        <v>0</v>
      </c>
      <c r="G160" s="755">
        <v>0</v>
      </c>
      <c r="H160" s="758">
        <v>0</v>
      </c>
      <c r="I160" s="756">
        <v>0</v>
      </c>
      <c r="J160" s="1930">
        <v>0</v>
      </c>
      <c r="K160" s="755">
        <v>0</v>
      </c>
      <c r="L160" s="1931">
        <v>0</v>
      </c>
      <c r="M160" s="1264"/>
      <c r="N160" s="757">
        <v>0</v>
      </c>
      <c r="O160" s="755">
        <v>0</v>
      </c>
      <c r="P160" s="758">
        <v>0</v>
      </c>
      <c r="Q160" s="757">
        <v>0</v>
      </c>
      <c r="R160" s="757">
        <v>0</v>
      </c>
      <c r="S160" s="755">
        <v>0</v>
      </c>
      <c r="T160" s="2133">
        <v>0</v>
      </c>
      <c r="U160" s="2134">
        <v>0</v>
      </c>
      <c r="V160" s="2138">
        <v>0</v>
      </c>
      <c r="W160" s="755">
        <v>0</v>
      </c>
      <c r="X160" s="1931">
        <v>0</v>
      </c>
    </row>
    <row r="161" spans="1:24" ht="11.25" hidden="1" customHeight="1" x14ac:dyDescent="0.25">
      <c r="A161" s="942" t="s">
        <v>2039</v>
      </c>
      <c r="B161" s="279"/>
      <c r="C161" s="2057"/>
      <c r="D161" s="2057"/>
      <c r="E161" s="2060"/>
      <c r="F161" s="2059"/>
      <c r="G161" s="2057"/>
      <c r="H161" s="2058"/>
      <c r="I161" s="2060"/>
      <c r="J161" s="1930">
        <v>0</v>
      </c>
      <c r="K161" s="755">
        <v>0</v>
      </c>
      <c r="L161" s="1931">
        <v>0</v>
      </c>
      <c r="M161" s="1264"/>
      <c r="N161" s="2059"/>
      <c r="O161" s="2057"/>
      <c r="P161" s="2058"/>
      <c r="Q161" s="757">
        <v>0</v>
      </c>
      <c r="R161" s="2059"/>
      <c r="S161" s="2057"/>
      <c r="T161" s="2060"/>
      <c r="U161" s="2134">
        <v>0</v>
      </c>
      <c r="V161" s="2060"/>
      <c r="W161" s="2057"/>
      <c r="X161" s="2136"/>
    </row>
    <row r="162" spans="1:24" ht="11.25" hidden="1" customHeight="1" x14ac:dyDescent="0.25">
      <c r="A162" s="942">
        <v>0</v>
      </c>
      <c r="B162" s="279"/>
      <c r="C162" s="2057"/>
      <c r="D162" s="2057"/>
      <c r="E162" s="2060"/>
      <c r="F162" s="2059"/>
      <c r="G162" s="2057"/>
      <c r="H162" s="2058"/>
      <c r="I162" s="2060"/>
      <c r="J162" s="1930">
        <v>0</v>
      </c>
      <c r="K162" s="755">
        <v>0</v>
      </c>
      <c r="L162" s="1931">
        <v>0</v>
      </c>
      <c r="M162" s="1264"/>
      <c r="N162" s="2059"/>
      <c r="O162" s="2057"/>
      <c r="P162" s="2058"/>
      <c r="Q162" s="757">
        <v>0</v>
      </c>
      <c r="R162" s="2059"/>
      <c r="S162" s="2057"/>
      <c r="T162" s="2060"/>
      <c r="U162" s="2134">
        <v>0</v>
      </c>
      <c r="V162" s="2060"/>
      <c r="W162" s="2057"/>
      <c r="X162" s="2136"/>
    </row>
    <row r="163" spans="1:24" ht="11.25" hidden="1" customHeight="1" x14ac:dyDescent="0.25">
      <c r="A163" s="942">
        <v>0</v>
      </c>
      <c r="B163" s="279"/>
      <c r="C163" s="2057"/>
      <c r="D163" s="2057"/>
      <c r="E163" s="2060"/>
      <c r="F163" s="2059"/>
      <c r="G163" s="2057"/>
      <c r="H163" s="2058"/>
      <c r="I163" s="2060"/>
      <c r="J163" s="1930">
        <v>0</v>
      </c>
      <c r="K163" s="755">
        <v>0</v>
      </c>
      <c r="L163" s="1931">
        <v>0</v>
      </c>
      <c r="M163" s="1264"/>
      <c r="N163" s="2059"/>
      <c r="O163" s="2057"/>
      <c r="P163" s="2058"/>
      <c r="Q163" s="757">
        <v>0</v>
      </c>
      <c r="R163" s="2059"/>
      <c r="S163" s="2057"/>
      <c r="T163" s="2060"/>
      <c r="U163" s="2134">
        <v>0</v>
      </c>
      <c r="V163" s="2060"/>
      <c r="W163" s="2057"/>
      <c r="X163" s="2136"/>
    </row>
    <row r="164" spans="1:24" ht="11.25" hidden="1" customHeight="1" x14ac:dyDescent="0.25">
      <c r="A164" s="942">
        <v>0</v>
      </c>
      <c r="B164" s="279"/>
      <c r="C164" s="2057"/>
      <c r="D164" s="2057"/>
      <c r="E164" s="2060"/>
      <c r="F164" s="2059"/>
      <c r="G164" s="2057"/>
      <c r="H164" s="2058"/>
      <c r="I164" s="2060"/>
      <c r="J164" s="1930">
        <v>0</v>
      </c>
      <c r="K164" s="755">
        <v>0</v>
      </c>
      <c r="L164" s="1931">
        <v>0</v>
      </c>
      <c r="M164" s="1264"/>
      <c r="N164" s="2059"/>
      <c r="O164" s="2057"/>
      <c r="P164" s="2058"/>
      <c r="Q164" s="757">
        <v>0</v>
      </c>
      <c r="R164" s="2059"/>
      <c r="S164" s="2057"/>
      <c r="T164" s="2060"/>
      <c r="U164" s="2134">
        <v>0</v>
      </c>
      <c r="V164" s="2060"/>
      <c r="W164" s="2057"/>
      <c r="X164" s="2136"/>
    </row>
    <row r="165" spans="1:24" ht="11.25" hidden="1" customHeight="1" x14ac:dyDescent="0.25">
      <c r="A165" s="942">
        <v>0</v>
      </c>
      <c r="B165" s="279"/>
      <c r="C165" s="2057"/>
      <c r="D165" s="2057"/>
      <c r="E165" s="2060"/>
      <c r="F165" s="2059"/>
      <c r="G165" s="2057"/>
      <c r="H165" s="2058"/>
      <c r="I165" s="2060"/>
      <c r="J165" s="1930">
        <v>0</v>
      </c>
      <c r="K165" s="755">
        <v>0</v>
      </c>
      <c r="L165" s="1931">
        <v>0</v>
      </c>
      <c r="M165" s="1264"/>
      <c r="N165" s="2059"/>
      <c r="O165" s="2057"/>
      <c r="P165" s="2058"/>
      <c r="Q165" s="757">
        <v>0</v>
      </c>
      <c r="R165" s="2059"/>
      <c r="S165" s="2057"/>
      <c r="T165" s="2060"/>
      <c r="U165" s="2134">
        <v>0</v>
      </c>
      <c r="V165" s="2060"/>
      <c r="W165" s="2057"/>
      <c r="X165" s="2136"/>
    </row>
    <row r="166" spans="1:24" ht="11.25" hidden="1" customHeight="1" x14ac:dyDescent="0.25">
      <c r="A166" s="942">
        <v>0</v>
      </c>
      <c r="B166" s="279"/>
      <c r="C166" s="2057"/>
      <c r="D166" s="2057"/>
      <c r="E166" s="2060"/>
      <c r="F166" s="2059"/>
      <c r="G166" s="2057"/>
      <c r="H166" s="2058"/>
      <c r="I166" s="2060"/>
      <c r="J166" s="1930">
        <v>0</v>
      </c>
      <c r="K166" s="755">
        <v>0</v>
      </c>
      <c r="L166" s="1931">
        <v>0</v>
      </c>
      <c r="M166" s="1264"/>
      <c r="N166" s="2059"/>
      <c r="O166" s="2057"/>
      <c r="P166" s="2058"/>
      <c r="Q166" s="757">
        <v>0</v>
      </c>
      <c r="R166" s="2059"/>
      <c r="S166" s="2057"/>
      <c r="T166" s="2060"/>
      <c r="U166" s="2134">
        <v>0</v>
      </c>
      <c r="V166" s="2060"/>
      <c r="W166" s="2057"/>
      <c r="X166" s="2136"/>
    </row>
    <row r="167" spans="1:24" ht="11.25" hidden="1" customHeight="1" x14ac:dyDescent="0.25">
      <c r="A167" s="942">
        <v>0</v>
      </c>
      <c r="B167" s="279"/>
      <c r="C167" s="2057"/>
      <c r="D167" s="2057"/>
      <c r="E167" s="2060"/>
      <c r="F167" s="2059"/>
      <c r="G167" s="2057"/>
      <c r="H167" s="2058"/>
      <c r="I167" s="2060"/>
      <c r="J167" s="1930">
        <v>0</v>
      </c>
      <c r="K167" s="755">
        <v>0</v>
      </c>
      <c r="L167" s="1931">
        <v>0</v>
      </c>
      <c r="M167" s="1264"/>
      <c r="N167" s="2059"/>
      <c r="O167" s="2057"/>
      <c r="P167" s="2058"/>
      <c r="Q167" s="757">
        <v>0</v>
      </c>
      <c r="R167" s="2059"/>
      <c r="S167" s="2057"/>
      <c r="T167" s="2060"/>
      <c r="U167" s="2134">
        <v>0</v>
      </c>
      <c r="V167" s="2060"/>
      <c r="W167" s="2057"/>
      <c r="X167" s="2136"/>
    </row>
    <row r="168" spans="1:24" ht="11.25" hidden="1" customHeight="1" x14ac:dyDescent="0.25">
      <c r="A168" s="942">
        <v>0</v>
      </c>
      <c r="B168" s="279"/>
      <c r="C168" s="2057"/>
      <c r="D168" s="2057"/>
      <c r="E168" s="2060"/>
      <c r="F168" s="2059"/>
      <c r="G168" s="2057"/>
      <c r="H168" s="2058"/>
      <c r="I168" s="2060"/>
      <c r="J168" s="1930">
        <v>0</v>
      </c>
      <c r="K168" s="755">
        <v>0</v>
      </c>
      <c r="L168" s="1931">
        <v>0</v>
      </c>
      <c r="M168" s="1264"/>
      <c r="N168" s="2059"/>
      <c r="O168" s="2057"/>
      <c r="P168" s="2058"/>
      <c r="Q168" s="757">
        <v>0</v>
      </c>
      <c r="R168" s="2059"/>
      <c r="S168" s="2057"/>
      <c r="T168" s="2060"/>
      <c r="U168" s="2134">
        <v>0</v>
      </c>
      <c r="V168" s="2060"/>
      <c r="W168" s="2057"/>
      <c r="X168" s="2136"/>
    </row>
    <row r="169" spans="1:24" ht="11.25" hidden="1" customHeight="1" x14ac:dyDescent="0.25">
      <c r="A169" s="942">
        <v>0</v>
      </c>
      <c r="B169" s="279"/>
      <c r="C169" s="2057"/>
      <c r="D169" s="2057"/>
      <c r="E169" s="2060"/>
      <c r="F169" s="2059"/>
      <c r="G169" s="2057"/>
      <c r="H169" s="2058"/>
      <c r="I169" s="2060"/>
      <c r="J169" s="1930">
        <v>0</v>
      </c>
      <c r="K169" s="755">
        <v>0</v>
      </c>
      <c r="L169" s="1931">
        <v>0</v>
      </c>
      <c r="M169" s="1264"/>
      <c r="N169" s="2059"/>
      <c r="O169" s="2057"/>
      <c r="P169" s="2058"/>
      <c r="Q169" s="757">
        <v>0</v>
      </c>
      <c r="R169" s="2059"/>
      <c r="S169" s="2057"/>
      <c r="T169" s="2060"/>
      <c r="U169" s="2134">
        <v>0</v>
      </c>
      <c r="V169" s="2060"/>
      <c r="W169" s="2057"/>
      <c r="X169" s="2136"/>
    </row>
    <row r="170" spans="1:24" ht="11.25" hidden="1" customHeight="1" x14ac:dyDescent="0.25">
      <c r="A170" s="942">
        <v>0</v>
      </c>
      <c r="B170" s="279"/>
      <c r="C170" s="2057"/>
      <c r="D170" s="2057"/>
      <c r="E170" s="2060"/>
      <c r="F170" s="2059"/>
      <c r="G170" s="2057"/>
      <c r="H170" s="2058"/>
      <c r="I170" s="2060"/>
      <c r="J170" s="1930">
        <v>0</v>
      </c>
      <c r="K170" s="755">
        <v>0</v>
      </c>
      <c r="L170" s="1931">
        <v>0</v>
      </c>
      <c r="M170" s="1264"/>
      <c r="N170" s="2059"/>
      <c r="O170" s="2057"/>
      <c r="P170" s="2058"/>
      <c r="Q170" s="757">
        <v>0</v>
      </c>
      <c r="R170" s="2059"/>
      <c r="S170" s="2057"/>
      <c r="T170" s="2060"/>
      <c r="U170" s="2134">
        <v>0</v>
      </c>
      <c r="V170" s="2060"/>
      <c r="W170" s="2057"/>
      <c r="X170" s="2136"/>
    </row>
    <row r="171" spans="1:24" x14ac:dyDescent="0.25">
      <c r="A171" s="196" t="s">
        <v>197</v>
      </c>
      <c r="B171" s="279"/>
      <c r="C171" s="1085">
        <v>0</v>
      </c>
      <c r="D171" s="1085">
        <v>0</v>
      </c>
      <c r="E171" s="1933">
        <v>0</v>
      </c>
      <c r="F171" s="2141">
        <v>0</v>
      </c>
      <c r="G171" s="1085">
        <v>0</v>
      </c>
      <c r="H171" s="1933">
        <v>0</v>
      </c>
      <c r="I171" s="1084">
        <v>0</v>
      </c>
      <c r="J171" s="1932">
        <v>0</v>
      </c>
      <c r="K171" s="1085">
        <v>0</v>
      </c>
      <c r="L171" s="1933">
        <v>0</v>
      </c>
      <c r="N171" s="1932">
        <v>0</v>
      </c>
      <c r="O171" s="1085">
        <v>0</v>
      </c>
      <c r="P171" s="1933">
        <v>0</v>
      </c>
      <c r="Q171" s="1086">
        <v>0</v>
      </c>
      <c r="R171" s="1932">
        <v>0</v>
      </c>
      <c r="S171" s="1085">
        <v>0</v>
      </c>
      <c r="T171" s="2142"/>
      <c r="U171" s="2143">
        <v>0</v>
      </c>
      <c r="V171" s="2141">
        <v>0</v>
      </c>
      <c r="W171" s="1085">
        <v>0</v>
      </c>
      <c r="X171" s="1933"/>
    </row>
    <row r="172" spans="1:24" ht="5.0999999999999996" customHeight="1" x14ac:dyDescent="0.25">
      <c r="A172" s="308"/>
      <c r="B172" s="315"/>
      <c r="C172" s="707"/>
      <c r="D172" s="2144"/>
      <c r="E172" s="2145"/>
      <c r="F172" s="706"/>
      <c r="G172" s="707"/>
      <c r="H172" s="708"/>
      <c r="I172" s="2145"/>
      <c r="J172" s="706"/>
      <c r="K172" s="707"/>
      <c r="L172" s="708"/>
      <c r="N172" s="706"/>
      <c r="O172" s="707"/>
      <c r="P172" s="708"/>
      <c r="Q172" s="2145"/>
      <c r="R172" s="706"/>
      <c r="S172" s="707"/>
      <c r="T172" s="2145"/>
      <c r="U172" s="1294"/>
      <c r="V172" s="2145"/>
      <c r="W172" s="707"/>
      <c r="X172" s="708"/>
    </row>
    <row r="173" spans="1:24" ht="11.25" customHeight="1" x14ac:dyDescent="0.25">
      <c r="A173" s="180" t="s">
        <v>1821</v>
      </c>
      <c r="B173" s="278"/>
      <c r="C173" s="749"/>
      <c r="D173" s="749"/>
      <c r="E173" s="750"/>
      <c r="F173" s="773"/>
      <c r="G173" s="749"/>
      <c r="H173" s="774"/>
      <c r="I173" s="750"/>
      <c r="J173" s="773"/>
      <c r="K173" s="749"/>
      <c r="L173" s="774"/>
    </row>
    <row r="174" spans="1:24" ht="11.25" customHeight="1" x14ac:dyDescent="0.25">
      <c r="A174" s="180" t="s">
        <v>1038</v>
      </c>
      <c r="B174" s="279">
        <v>2</v>
      </c>
      <c r="C174" s="776"/>
      <c r="D174" s="776"/>
      <c r="E174" s="2106"/>
      <c r="F174" s="778"/>
      <c r="G174" s="776"/>
      <c r="H174" s="779"/>
      <c r="I174" s="2106"/>
      <c r="J174" s="778"/>
      <c r="K174" s="776"/>
      <c r="L174" s="779"/>
      <c r="M174" s="1267"/>
    </row>
    <row r="175" spans="1:24" ht="15" customHeight="1" x14ac:dyDescent="0.25">
      <c r="A175" s="941" t="s">
        <v>2374</v>
      </c>
      <c r="B175" s="785"/>
      <c r="C175" s="755">
        <v>0</v>
      </c>
      <c r="D175" s="755">
        <v>44330</v>
      </c>
      <c r="E175" s="758">
        <v>48769.27</v>
      </c>
      <c r="F175" s="757">
        <v>0</v>
      </c>
      <c r="G175" s="755">
        <v>70000</v>
      </c>
      <c r="H175" s="758">
        <v>70000</v>
      </c>
      <c r="I175" s="756">
        <v>70000</v>
      </c>
      <c r="J175" s="757">
        <v>150000</v>
      </c>
      <c r="K175" s="755">
        <v>159000</v>
      </c>
      <c r="L175" s="758">
        <v>168540</v>
      </c>
      <c r="M175" s="1267"/>
    </row>
    <row r="176" spans="1:24" ht="11.25" customHeight="1" x14ac:dyDescent="0.25">
      <c r="A176" s="941" t="s">
        <v>2316</v>
      </c>
      <c r="B176" s="279"/>
      <c r="C176" s="2057">
        <v>0</v>
      </c>
      <c r="D176" s="2057">
        <v>0</v>
      </c>
      <c r="E176" s="1065">
        <v>0</v>
      </c>
      <c r="F176" s="2059">
        <v>0</v>
      </c>
      <c r="G176" s="2057">
        <v>0</v>
      </c>
      <c r="H176" s="2058">
        <v>0</v>
      </c>
      <c r="I176" s="2060">
        <v>0</v>
      </c>
      <c r="J176" s="2059">
        <v>0</v>
      </c>
      <c r="K176" s="2057">
        <v>0</v>
      </c>
      <c r="L176" s="2058">
        <v>0</v>
      </c>
      <c r="M176" s="1267"/>
    </row>
    <row r="177" spans="1:13" ht="11.25" customHeight="1" x14ac:dyDescent="0.25">
      <c r="A177" s="941" t="s">
        <v>2317</v>
      </c>
      <c r="B177" s="279"/>
      <c r="C177" s="2057">
        <v>0</v>
      </c>
      <c r="D177" s="2057">
        <v>44330</v>
      </c>
      <c r="E177" s="2058">
        <v>48769.27</v>
      </c>
      <c r="F177" s="2059">
        <v>0</v>
      </c>
      <c r="G177" s="2057">
        <v>70000</v>
      </c>
      <c r="H177" s="2058">
        <v>70000</v>
      </c>
      <c r="I177" s="2060">
        <v>70000</v>
      </c>
      <c r="J177" s="2059">
        <v>150000</v>
      </c>
      <c r="K177" s="2057">
        <v>159000</v>
      </c>
      <c r="L177" s="2058">
        <v>168540</v>
      </c>
      <c r="M177" s="1267"/>
    </row>
    <row r="178" spans="1:13" ht="11.25" customHeight="1" x14ac:dyDescent="0.25">
      <c r="A178" s="941" t="s">
        <v>2318</v>
      </c>
      <c r="B178" s="279"/>
      <c r="C178" s="2057">
        <v>0</v>
      </c>
      <c r="D178" s="2057">
        <v>0</v>
      </c>
      <c r="E178" s="2058">
        <v>0</v>
      </c>
      <c r="F178" s="2059">
        <v>0</v>
      </c>
      <c r="G178" s="2057">
        <v>0</v>
      </c>
      <c r="H178" s="2058">
        <v>0</v>
      </c>
      <c r="I178" s="2060">
        <v>0</v>
      </c>
      <c r="J178" s="2059">
        <v>0</v>
      </c>
      <c r="K178" s="2057">
        <v>0</v>
      </c>
      <c r="L178" s="2058">
        <v>0</v>
      </c>
      <c r="M178" s="1267"/>
    </row>
    <row r="179" spans="1:13" ht="11.25" customHeight="1" x14ac:dyDescent="0.25">
      <c r="A179" s="941" t="s">
        <v>2319</v>
      </c>
      <c r="B179" s="279"/>
      <c r="C179" s="2057">
        <v>0</v>
      </c>
      <c r="D179" s="2057">
        <v>0</v>
      </c>
      <c r="E179" s="2058">
        <v>0</v>
      </c>
      <c r="F179" s="2059">
        <v>0</v>
      </c>
      <c r="G179" s="2057">
        <v>0</v>
      </c>
      <c r="H179" s="2058">
        <v>0</v>
      </c>
      <c r="I179" s="2060">
        <v>0</v>
      </c>
      <c r="J179" s="2059">
        <v>0</v>
      </c>
      <c r="K179" s="2057">
        <v>0</v>
      </c>
      <c r="L179" s="2058">
        <v>0</v>
      </c>
      <c r="M179" s="1267"/>
    </row>
    <row r="180" spans="1:13" ht="11.25" hidden="1" customHeight="1" x14ac:dyDescent="0.25">
      <c r="A180" s="941">
        <v>0</v>
      </c>
      <c r="B180" s="279"/>
      <c r="C180" s="2057"/>
      <c r="D180" s="2057"/>
      <c r="E180" s="2058"/>
      <c r="F180" s="2059"/>
      <c r="G180" s="2057"/>
      <c r="H180" s="2058"/>
      <c r="I180" s="2060"/>
      <c r="J180" s="2059"/>
      <c r="K180" s="2057"/>
      <c r="L180" s="2058"/>
      <c r="M180" s="1267"/>
    </row>
    <row r="181" spans="1:13" ht="11.25" hidden="1" customHeight="1" x14ac:dyDescent="0.25">
      <c r="A181" s="941">
        <v>0</v>
      </c>
      <c r="B181" s="279"/>
      <c r="C181" s="2057"/>
      <c r="D181" s="2057"/>
      <c r="E181" s="2058"/>
      <c r="F181" s="2059"/>
      <c r="G181" s="2057"/>
      <c r="H181" s="2058"/>
      <c r="I181" s="2060"/>
      <c r="J181" s="2059"/>
      <c r="K181" s="2057"/>
      <c r="L181" s="2058"/>
      <c r="M181" s="1267"/>
    </row>
    <row r="182" spans="1:13" ht="11.25" hidden="1" customHeight="1" x14ac:dyDescent="0.25">
      <c r="A182" s="941">
        <v>0</v>
      </c>
      <c r="B182" s="279"/>
      <c r="C182" s="2057"/>
      <c r="D182" s="2057"/>
      <c r="E182" s="2058"/>
      <c r="F182" s="2059"/>
      <c r="G182" s="2057"/>
      <c r="H182" s="2058"/>
      <c r="I182" s="2060"/>
      <c r="J182" s="2059"/>
      <c r="K182" s="2057"/>
      <c r="L182" s="2058"/>
      <c r="M182" s="1267"/>
    </row>
    <row r="183" spans="1:13" ht="11.25" hidden="1" customHeight="1" x14ac:dyDescent="0.25">
      <c r="A183" s="941">
        <v>0</v>
      </c>
      <c r="B183" s="279"/>
      <c r="C183" s="2057"/>
      <c r="D183" s="2057"/>
      <c r="E183" s="2058"/>
      <c r="F183" s="2059"/>
      <c r="G183" s="2057"/>
      <c r="H183" s="2058"/>
      <c r="I183" s="2060"/>
      <c r="J183" s="2059"/>
      <c r="K183" s="2057"/>
      <c r="L183" s="2058"/>
      <c r="M183" s="1267"/>
    </row>
    <row r="184" spans="1:13" ht="11.25" hidden="1" customHeight="1" x14ac:dyDescent="0.25">
      <c r="A184" s="941">
        <v>0</v>
      </c>
      <c r="B184" s="279"/>
      <c r="C184" s="2057"/>
      <c r="D184" s="2057"/>
      <c r="E184" s="2058"/>
      <c r="F184" s="2059"/>
      <c r="G184" s="2057"/>
      <c r="H184" s="2058"/>
      <c r="I184" s="2060"/>
      <c r="J184" s="2059"/>
      <c r="K184" s="2057"/>
      <c r="L184" s="2058"/>
      <c r="M184" s="1267"/>
    </row>
    <row r="185" spans="1:13" ht="11.25" hidden="1" customHeight="1" x14ac:dyDescent="0.25">
      <c r="A185" s="941">
        <v>0</v>
      </c>
      <c r="B185" s="279"/>
      <c r="C185" s="2057"/>
      <c r="D185" s="2057"/>
      <c r="E185" s="2058"/>
      <c r="F185" s="2059"/>
      <c r="G185" s="2057"/>
      <c r="H185" s="2058"/>
      <c r="I185" s="2060"/>
      <c r="J185" s="2059"/>
      <c r="K185" s="2057"/>
      <c r="L185" s="2058"/>
      <c r="M185" s="1267"/>
    </row>
    <row r="186" spans="1:13" ht="15" customHeight="1" x14ac:dyDescent="0.25">
      <c r="A186" s="941" t="s">
        <v>2375</v>
      </c>
      <c r="B186" s="785"/>
      <c r="C186" s="755">
        <v>0</v>
      </c>
      <c r="D186" s="755">
        <v>1012857.54</v>
      </c>
      <c r="E186" s="758">
        <v>385280.75</v>
      </c>
      <c r="F186" s="757">
        <v>300000</v>
      </c>
      <c r="G186" s="755">
        <v>482000</v>
      </c>
      <c r="H186" s="758">
        <v>482000</v>
      </c>
      <c r="I186" s="756">
        <v>482000</v>
      </c>
      <c r="J186" s="757">
        <v>2405000</v>
      </c>
      <c r="K186" s="755">
        <v>895700</v>
      </c>
      <c r="L186" s="758">
        <v>949442</v>
      </c>
      <c r="M186" s="1267"/>
    </row>
    <row r="187" spans="1:13" ht="11.25" customHeight="1" x14ac:dyDescent="0.25">
      <c r="A187" s="941" t="s">
        <v>2320</v>
      </c>
      <c r="B187" s="279"/>
      <c r="C187" s="2057">
        <v>0</v>
      </c>
      <c r="D187" s="2057">
        <v>0</v>
      </c>
      <c r="E187" s="2058">
        <v>0</v>
      </c>
      <c r="F187" s="2059">
        <v>0</v>
      </c>
      <c r="G187" s="2057">
        <v>0</v>
      </c>
      <c r="H187" s="2058">
        <v>0</v>
      </c>
      <c r="I187" s="2060">
        <v>0</v>
      </c>
      <c r="J187" s="2059">
        <v>0</v>
      </c>
      <c r="K187" s="2057">
        <v>0</v>
      </c>
      <c r="L187" s="2058">
        <v>0</v>
      </c>
      <c r="M187" s="1267"/>
    </row>
    <row r="188" spans="1:13" ht="11.25" customHeight="1" x14ac:dyDescent="0.25">
      <c r="A188" s="941" t="s">
        <v>2321</v>
      </c>
      <c r="B188" s="279"/>
      <c r="C188" s="2057">
        <v>0</v>
      </c>
      <c r="D188" s="2057">
        <v>0</v>
      </c>
      <c r="E188" s="2058">
        <v>0</v>
      </c>
      <c r="F188" s="2059">
        <v>0</v>
      </c>
      <c r="G188" s="2057">
        <v>0</v>
      </c>
      <c r="H188" s="2058">
        <v>0</v>
      </c>
      <c r="I188" s="2060">
        <v>0</v>
      </c>
      <c r="J188" s="2059">
        <v>0</v>
      </c>
      <c r="K188" s="2057">
        <v>0</v>
      </c>
      <c r="L188" s="2058">
        <v>0</v>
      </c>
      <c r="M188" s="1267"/>
    </row>
    <row r="189" spans="1:13" ht="11.25" customHeight="1" x14ac:dyDescent="0.25">
      <c r="A189" s="941" t="s">
        <v>2322</v>
      </c>
      <c r="B189" s="279"/>
      <c r="C189" s="2057">
        <v>0</v>
      </c>
      <c r="D189" s="2057">
        <v>683259.81</v>
      </c>
      <c r="E189" s="2058">
        <v>133825.91</v>
      </c>
      <c r="F189" s="2059">
        <v>0</v>
      </c>
      <c r="G189" s="2057">
        <v>0</v>
      </c>
      <c r="H189" s="2058">
        <v>0</v>
      </c>
      <c r="I189" s="2060">
        <v>0</v>
      </c>
      <c r="J189" s="2059">
        <v>0</v>
      </c>
      <c r="K189" s="2057">
        <v>0</v>
      </c>
      <c r="L189" s="2058">
        <v>0</v>
      </c>
      <c r="M189" s="1267"/>
    </row>
    <row r="190" spans="1:13" ht="11.25" customHeight="1" x14ac:dyDescent="0.25">
      <c r="A190" s="941" t="s">
        <v>2323</v>
      </c>
      <c r="B190" s="279"/>
      <c r="C190" s="2057">
        <v>0</v>
      </c>
      <c r="D190" s="2057">
        <v>329597.73</v>
      </c>
      <c r="E190" s="2058">
        <v>20914.64</v>
      </c>
      <c r="F190" s="2059">
        <v>300000</v>
      </c>
      <c r="G190" s="2057">
        <v>322000</v>
      </c>
      <c r="H190" s="2058">
        <v>322000</v>
      </c>
      <c r="I190" s="2060">
        <v>322000</v>
      </c>
      <c r="J190" s="2059">
        <v>595000</v>
      </c>
      <c r="K190" s="2057">
        <v>630700</v>
      </c>
      <c r="L190" s="2058">
        <v>668542</v>
      </c>
      <c r="M190" s="1267"/>
    </row>
    <row r="191" spans="1:13" ht="11.25" customHeight="1" x14ac:dyDescent="0.25">
      <c r="A191" s="941" t="s">
        <v>2324</v>
      </c>
      <c r="B191" s="279"/>
      <c r="C191" s="2057">
        <v>0</v>
      </c>
      <c r="D191" s="2057">
        <v>0</v>
      </c>
      <c r="E191" s="2058">
        <v>230540.2</v>
      </c>
      <c r="F191" s="2059">
        <v>0</v>
      </c>
      <c r="G191" s="2057">
        <v>160000</v>
      </c>
      <c r="H191" s="2058">
        <v>160000</v>
      </c>
      <c r="I191" s="2060">
        <v>160000</v>
      </c>
      <c r="J191" s="2059">
        <v>250000</v>
      </c>
      <c r="K191" s="2057">
        <v>265000</v>
      </c>
      <c r="L191" s="2058">
        <v>280900</v>
      </c>
      <c r="M191" s="1986"/>
    </row>
    <row r="192" spans="1:13" ht="11.25" customHeight="1" x14ac:dyDescent="0.25">
      <c r="A192" s="941" t="s">
        <v>2325</v>
      </c>
      <c r="B192" s="279"/>
      <c r="C192" s="2057">
        <v>0</v>
      </c>
      <c r="D192" s="2057">
        <v>0</v>
      </c>
      <c r="E192" s="2058">
        <v>0</v>
      </c>
      <c r="F192" s="2059">
        <v>0</v>
      </c>
      <c r="G192" s="2057">
        <v>0</v>
      </c>
      <c r="H192" s="2058">
        <v>0</v>
      </c>
      <c r="I192" s="2060">
        <v>0</v>
      </c>
      <c r="J192" s="2059">
        <v>1560000</v>
      </c>
      <c r="K192" s="2057">
        <v>0</v>
      </c>
      <c r="L192" s="2058">
        <v>0</v>
      </c>
      <c r="M192" s="1267"/>
    </row>
    <row r="193" spans="1:13" ht="11.25" hidden="1" customHeight="1" x14ac:dyDescent="0.25">
      <c r="A193" s="941">
        <v>0</v>
      </c>
      <c r="B193" s="279"/>
      <c r="C193" s="2057"/>
      <c r="D193" s="2057"/>
      <c r="E193" s="2058"/>
      <c r="F193" s="2059"/>
      <c r="G193" s="2057"/>
      <c r="H193" s="2058"/>
      <c r="I193" s="2060"/>
      <c r="J193" s="2059"/>
      <c r="K193" s="2057"/>
      <c r="L193" s="2058"/>
      <c r="M193" s="1267"/>
    </row>
    <row r="194" spans="1:13" ht="13.5" hidden="1" x14ac:dyDescent="0.25">
      <c r="A194" s="941">
        <v>0</v>
      </c>
      <c r="B194" s="279"/>
      <c r="C194" s="2057"/>
      <c r="D194" s="2057"/>
      <c r="E194" s="2058"/>
      <c r="F194" s="2059"/>
      <c r="G194" s="2057"/>
      <c r="H194" s="2058"/>
      <c r="I194" s="2060"/>
      <c r="J194" s="2059"/>
      <c r="K194" s="2057"/>
      <c r="L194" s="2058"/>
      <c r="M194" s="1267"/>
    </row>
    <row r="195" spans="1:13" ht="11.25" hidden="1" customHeight="1" x14ac:dyDescent="0.25">
      <c r="A195" s="941">
        <v>0</v>
      </c>
      <c r="B195" s="279"/>
      <c r="C195" s="2057"/>
      <c r="D195" s="2057"/>
      <c r="E195" s="2058"/>
      <c r="F195" s="2059"/>
      <c r="G195" s="2057"/>
      <c r="H195" s="2058"/>
      <c r="I195" s="2060"/>
      <c r="J195" s="2059"/>
      <c r="K195" s="2057"/>
      <c r="L195" s="2058"/>
      <c r="M195" s="1267"/>
    </row>
    <row r="196" spans="1:13" ht="11.25" hidden="1" customHeight="1" x14ac:dyDescent="0.25">
      <c r="A196" s="941">
        <v>0</v>
      </c>
      <c r="B196" s="279"/>
      <c r="C196" s="2057"/>
      <c r="D196" s="2057"/>
      <c r="E196" s="2058"/>
      <c r="F196" s="2059"/>
      <c r="G196" s="2057"/>
      <c r="H196" s="2058"/>
      <c r="I196" s="2060"/>
      <c r="J196" s="2059"/>
      <c r="K196" s="2057"/>
      <c r="L196" s="2058"/>
      <c r="M196" s="1267"/>
    </row>
    <row r="197" spans="1:13" ht="15" customHeight="1" x14ac:dyDescent="0.25">
      <c r="A197" s="941" t="s">
        <v>2376</v>
      </c>
      <c r="B197" s="785"/>
      <c r="C197" s="755">
        <v>3805483</v>
      </c>
      <c r="D197" s="755">
        <v>2473786.6999999997</v>
      </c>
      <c r="E197" s="758">
        <v>1314549.96</v>
      </c>
      <c r="F197" s="757">
        <v>0</v>
      </c>
      <c r="G197" s="755">
        <v>0</v>
      </c>
      <c r="H197" s="758">
        <v>0</v>
      </c>
      <c r="I197" s="756">
        <v>0</v>
      </c>
      <c r="J197" s="757">
        <v>0</v>
      </c>
      <c r="K197" s="755">
        <v>0</v>
      </c>
      <c r="L197" s="758">
        <v>0</v>
      </c>
      <c r="M197" s="1267"/>
    </row>
    <row r="198" spans="1:13" ht="11.25" customHeight="1" x14ac:dyDescent="0.25">
      <c r="A198" s="941" t="s">
        <v>2326</v>
      </c>
      <c r="B198" s="279"/>
      <c r="C198" s="2057">
        <v>3805483</v>
      </c>
      <c r="D198" s="2057">
        <v>2473786.6999999997</v>
      </c>
      <c r="E198" s="2058">
        <v>1314549.96</v>
      </c>
      <c r="F198" s="2059">
        <v>0</v>
      </c>
      <c r="G198" s="2057">
        <v>0</v>
      </c>
      <c r="H198" s="2058">
        <v>0</v>
      </c>
      <c r="I198" s="2060">
        <v>0</v>
      </c>
      <c r="J198" s="2059">
        <v>0</v>
      </c>
      <c r="K198" s="2057">
        <v>0</v>
      </c>
      <c r="L198" s="2058">
        <v>0</v>
      </c>
      <c r="M198" s="1267"/>
    </row>
    <row r="199" spans="1:13" ht="11.25" hidden="1" customHeight="1" x14ac:dyDescent="0.25">
      <c r="A199" s="941">
        <v>0</v>
      </c>
      <c r="B199" s="279"/>
      <c r="C199" s="2057"/>
      <c r="D199" s="2057"/>
      <c r="E199" s="2058"/>
      <c r="F199" s="2059"/>
      <c r="G199" s="2057"/>
      <c r="H199" s="2058"/>
      <c r="I199" s="2060"/>
      <c r="J199" s="2059"/>
      <c r="K199" s="2057"/>
      <c r="L199" s="2058"/>
      <c r="M199" s="1267"/>
    </row>
    <row r="200" spans="1:13" ht="11.25" hidden="1" customHeight="1" x14ac:dyDescent="0.25">
      <c r="A200" s="941">
        <v>0</v>
      </c>
      <c r="B200" s="279"/>
      <c r="C200" s="2057"/>
      <c r="D200" s="2057"/>
      <c r="E200" s="2058"/>
      <c r="F200" s="2059"/>
      <c r="G200" s="2057"/>
      <c r="H200" s="2058"/>
      <c r="I200" s="2060"/>
      <c r="J200" s="2059"/>
      <c r="K200" s="2057"/>
      <c r="L200" s="2058"/>
      <c r="M200" s="1267"/>
    </row>
    <row r="201" spans="1:13" ht="11.25" hidden="1" customHeight="1" x14ac:dyDescent="0.25">
      <c r="A201" s="941">
        <v>0</v>
      </c>
      <c r="B201" s="279"/>
      <c r="C201" s="2057"/>
      <c r="D201" s="2057"/>
      <c r="E201" s="2058"/>
      <c r="F201" s="2059"/>
      <c r="G201" s="2057"/>
      <c r="H201" s="2058"/>
      <c r="I201" s="2060"/>
      <c r="J201" s="2059"/>
      <c r="K201" s="2057"/>
      <c r="L201" s="2058"/>
      <c r="M201" s="1267"/>
    </row>
    <row r="202" spans="1:13" ht="11.25" hidden="1" customHeight="1" x14ac:dyDescent="0.25">
      <c r="A202" s="941">
        <v>0</v>
      </c>
      <c r="B202" s="279"/>
      <c r="C202" s="2057"/>
      <c r="D202" s="2057"/>
      <c r="E202" s="2058"/>
      <c r="F202" s="2059"/>
      <c r="G202" s="2057"/>
      <c r="H202" s="2058"/>
      <c r="I202" s="2060"/>
      <c r="J202" s="2059"/>
      <c r="K202" s="2057"/>
      <c r="L202" s="2058"/>
      <c r="M202" s="1267"/>
    </row>
    <row r="203" spans="1:13" ht="11.25" hidden="1" customHeight="1" x14ac:dyDescent="0.25">
      <c r="A203" s="941">
        <v>0</v>
      </c>
      <c r="B203" s="279"/>
      <c r="C203" s="2057"/>
      <c r="D203" s="2057"/>
      <c r="E203" s="2058"/>
      <c r="F203" s="2059"/>
      <c r="G203" s="2057"/>
      <c r="H203" s="2058"/>
      <c r="I203" s="2060"/>
      <c r="J203" s="2059"/>
      <c r="K203" s="2057"/>
      <c r="L203" s="2058"/>
      <c r="M203" s="1267"/>
    </row>
    <row r="204" spans="1:13" ht="13.5" hidden="1" x14ac:dyDescent="0.25">
      <c r="A204" s="941">
        <v>0</v>
      </c>
      <c r="B204" s="279"/>
      <c r="C204" s="2057"/>
      <c r="D204" s="2057"/>
      <c r="E204" s="2058"/>
      <c r="F204" s="2059"/>
      <c r="G204" s="2057"/>
      <c r="H204" s="2058"/>
      <c r="I204" s="2060"/>
      <c r="J204" s="2059"/>
      <c r="K204" s="2057"/>
      <c r="L204" s="2058"/>
      <c r="M204" s="1267"/>
    </row>
    <row r="205" spans="1:13" ht="13.5" hidden="1" x14ac:dyDescent="0.25">
      <c r="A205" s="941">
        <v>0</v>
      </c>
      <c r="B205" s="279"/>
      <c r="C205" s="2057"/>
      <c r="D205" s="2057"/>
      <c r="E205" s="2058"/>
      <c r="F205" s="2059"/>
      <c r="G205" s="2057"/>
      <c r="H205" s="2058"/>
      <c r="I205" s="2060"/>
      <c r="J205" s="2059"/>
      <c r="K205" s="2057"/>
      <c r="L205" s="2058"/>
      <c r="M205" s="1267"/>
    </row>
    <row r="206" spans="1:13" ht="11.25" hidden="1" customHeight="1" x14ac:dyDescent="0.25">
      <c r="A206" s="941">
        <v>0</v>
      </c>
      <c r="B206" s="279"/>
      <c r="C206" s="2057"/>
      <c r="D206" s="2057"/>
      <c r="E206" s="2058"/>
      <c r="F206" s="2059"/>
      <c r="G206" s="2057"/>
      <c r="H206" s="2058"/>
      <c r="I206" s="2060"/>
      <c r="J206" s="2059"/>
      <c r="K206" s="2057"/>
      <c r="L206" s="2058"/>
      <c r="M206" s="1267"/>
    </row>
    <row r="207" spans="1:13" ht="13.5" hidden="1" x14ac:dyDescent="0.25">
      <c r="A207" s="941">
        <v>0</v>
      </c>
      <c r="B207" s="279"/>
      <c r="C207" s="2057"/>
      <c r="D207" s="2057"/>
      <c r="E207" s="2058"/>
      <c r="F207" s="2059"/>
      <c r="G207" s="2057"/>
      <c r="H207" s="2058"/>
      <c r="I207" s="2060"/>
      <c r="J207" s="2059"/>
      <c r="K207" s="2057"/>
      <c r="L207" s="2058"/>
      <c r="M207" s="1267"/>
    </row>
    <row r="208" spans="1:13" ht="15" customHeight="1" x14ac:dyDescent="0.25">
      <c r="A208" s="941" t="s">
        <v>2377</v>
      </c>
      <c r="B208" s="785"/>
      <c r="C208" s="755">
        <v>0</v>
      </c>
      <c r="D208" s="755">
        <v>1068514.6600000001</v>
      </c>
      <c r="E208" s="758">
        <v>674045.48</v>
      </c>
      <c r="F208" s="2139">
        <v>888000</v>
      </c>
      <c r="G208" s="755">
        <v>928000</v>
      </c>
      <c r="H208" s="758">
        <v>928000</v>
      </c>
      <c r="I208" s="756">
        <v>928000</v>
      </c>
      <c r="J208" s="757">
        <v>460000</v>
      </c>
      <c r="K208" s="755">
        <v>487600</v>
      </c>
      <c r="L208" s="2140">
        <v>516856</v>
      </c>
      <c r="M208" s="1267"/>
    </row>
    <row r="209" spans="1:24" ht="13.5" x14ac:dyDescent="0.25">
      <c r="A209" s="941" t="s">
        <v>2327</v>
      </c>
      <c r="B209" s="279"/>
      <c r="C209" s="2057">
        <v>0</v>
      </c>
      <c r="D209" s="2057">
        <v>0</v>
      </c>
      <c r="E209" s="2058">
        <v>27690</v>
      </c>
      <c r="F209" s="2059">
        <v>888000</v>
      </c>
      <c r="G209" s="2057">
        <v>928000</v>
      </c>
      <c r="H209" s="2058">
        <v>928000</v>
      </c>
      <c r="I209" s="2060">
        <v>928000</v>
      </c>
      <c r="J209" s="2059">
        <v>50000</v>
      </c>
      <c r="K209" s="2057">
        <v>53000</v>
      </c>
      <c r="L209" s="2058">
        <v>56180</v>
      </c>
      <c r="M209" s="1267"/>
    </row>
    <row r="210" spans="1:24" ht="13.5" x14ac:dyDescent="0.25">
      <c r="A210" s="941" t="s">
        <v>2328</v>
      </c>
      <c r="B210" s="279"/>
      <c r="C210" s="2057">
        <v>0</v>
      </c>
      <c r="D210" s="2057">
        <v>1068514.6600000001</v>
      </c>
      <c r="E210" s="2058">
        <v>646355.48</v>
      </c>
      <c r="F210" s="2059">
        <v>0</v>
      </c>
      <c r="G210" s="2057">
        <v>0</v>
      </c>
      <c r="H210" s="2058">
        <v>0</v>
      </c>
      <c r="I210" s="2060">
        <v>0</v>
      </c>
      <c r="J210" s="2059">
        <v>410000</v>
      </c>
      <c r="K210" s="2057">
        <v>434600</v>
      </c>
      <c r="L210" s="2058">
        <v>460676</v>
      </c>
      <c r="M210" s="1267"/>
    </row>
    <row r="211" spans="1:24" ht="11.25" customHeight="1" x14ac:dyDescent="0.25">
      <c r="A211" s="941" t="s">
        <v>2329</v>
      </c>
      <c r="B211" s="279"/>
      <c r="C211" s="2057">
        <v>0</v>
      </c>
      <c r="D211" s="2057">
        <v>0</v>
      </c>
      <c r="E211" s="2058">
        <v>0</v>
      </c>
      <c r="F211" s="2059">
        <v>0</v>
      </c>
      <c r="G211" s="2057">
        <v>0</v>
      </c>
      <c r="H211" s="2058">
        <v>0</v>
      </c>
      <c r="I211" s="2060">
        <v>0</v>
      </c>
      <c r="J211" s="2059">
        <v>0</v>
      </c>
      <c r="K211" s="2057">
        <v>0</v>
      </c>
      <c r="L211" s="2058">
        <v>0</v>
      </c>
      <c r="M211" s="1267"/>
    </row>
    <row r="212" spans="1:24" s="307" customFormat="1" ht="11.25" hidden="1" customHeight="1" x14ac:dyDescent="0.25">
      <c r="A212" s="941">
        <v>0</v>
      </c>
      <c r="B212" s="279"/>
      <c r="C212" s="2057"/>
      <c r="D212" s="2057"/>
      <c r="E212" s="2058"/>
      <c r="F212" s="2059"/>
      <c r="G212" s="2057"/>
      <c r="H212" s="2058"/>
      <c r="I212" s="2060"/>
      <c r="J212" s="2059"/>
      <c r="K212" s="2057"/>
      <c r="L212" s="2058"/>
      <c r="M212" s="1267"/>
      <c r="N212" s="1278"/>
      <c r="O212" s="1278"/>
      <c r="P212" s="1278"/>
      <c r="Q212" s="1278"/>
      <c r="R212" s="1278"/>
      <c r="S212" s="1278"/>
      <c r="T212" s="1278"/>
      <c r="U212" s="1278"/>
      <c r="V212" s="1278"/>
      <c r="W212" s="1278"/>
      <c r="X212" s="1278"/>
    </row>
    <row r="213" spans="1:24" s="307" customFormat="1" ht="11.25" hidden="1" customHeight="1" x14ac:dyDescent="0.25">
      <c r="A213" s="941">
        <v>0</v>
      </c>
      <c r="B213" s="279"/>
      <c r="C213" s="2057"/>
      <c r="D213" s="2057"/>
      <c r="E213" s="2058"/>
      <c r="F213" s="2059"/>
      <c r="G213" s="2057"/>
      <c r="H213" s="2058"/>
      <c r="I213" s="2060"/>
      <c r="J213" s="2059"/>
      <c r="K213" s="2057"/>
      <c r="L213" s="2058"/>
      <c r="M213" s="1267"/>
      <c r="N213" s="1278"/>
      <c r="O213" s="1278"/>
      <c r="P213" s="1278"/>
      <c r="Q213" s="1278"/>
      <c r="R213" s="1278"/>
      <c r="S213" s="1278"/>
      <c r="T213" s="1278"/>
      <c r="U213" s="1278"/>
      <c r="V213" s="1278"/>
      <c r="W213" s="1278"/>
      <c r="X213" s="1278"/>
    </row>
    <row r="214" spans="1:24" ht="11.25" hidden="1" customHeight="1" x14ac:dyDescent="0.25">
      <c r="A214" s="941">
        <v>0</v>
      </c>
      <c r="B214" s="279"/>
      <c r="C214" s="2057"/>
      <c r="D214" s="2057"/>
      <c r="E214" s="2058"/>
      <c r="F214" s="2059"/>
      <c r="G214" s="2057"/>
      <c r="H214" s="2058"/>
      <c r="I214" s="2060"/>
      <c r="J214" s="2059"/>
      <c r="K214" s="2057"/>
      <c r="L214" s="2058"/>
      <c r="M214" s="1267"/>
    </row>
    <row r="215" spans="1:24" ht="11.25" hidden="1" customHeight="1" x14ac:dyDescent="0.25">
      <c r="A215" s="941">
        <v>0</v>
      </c>
      <c r="B215" s="279"/>
      <c r="C215" s="2057"/>
      <c r="D215" s="2057"/>
      <c r="E215" s="2058"/>
      <c r="F215" s="2059"/>
      <c r="G215" s="2057"/>
      <c r="H215" s="2058"/>
      <c r="I215" s="2060"/>
      <c r="J215" s="2059"/>
      <c r="K215" s="2057"/>
      <c r="L215" s="2058"/>
      <c r="M215" s="1267"/>
    </row>
    <row r="216" spans="1:24" ht="11.25" hidden="1" customHeight="1" x14ac:dyDescent="0.25">
      <c r="A216" s="941">
        <v>0</v>
      </c>
      <c r="B216" s="279"/>
      <c r="C216" s="2057"/>
      <c r="D216" s="2057"/>
      <c r="E216" s="2058"/>
      <c r="F216" s="2059"/>
      <c r="G216" s="2057"/>
      <c r="H216" s="2058"/>
      <c r="I216" s="2060"/>
      <c r="J216" s="2059"/>
      <c r="K216" s="2057"/>
      <c r="L216" s="2058"/>
      <c r="M216" s="1267"/>
    </row>
    <row r="217" spans="1:24" ht="11.25" hidden="1" customHeight="1" x14ac:dyDescent="0.25">
      <c r="A217" s="941">
        <v>0</v>
      </c>
      <c r="B217" s="279"/>
      <c r="C217" s="2057"/>
      <c r="D217" s="2057"/>
      <c r="E217" s="2058"/>
      <c r="F217" s="2059"/>
      <c r="G217" s="2057"/>
      <c r="H217" s="2058"/>
      <c r="I217" s="2060"/>
      <c r="J217" s="2059"/>
      <c r="K217" s="2057"/>
      <c r="L217" s="2058"/>
      <c r="M217" s="1267"/>
    </row>
    <row r="218" spans="1:24" ht="11.25" hidden="1" customHeight="1" x14ac:dyDescent="0.25">
      <c r="A218" s="941">
        <v>0</v>
      </c>
      <c r="B218" s="279"/>
      <c r="C218" s="2057"/>
      <c r="D218" s="2057"/>
      <c r="E218" s="2058"/>
      <c r="F218" s="2059"/>
      <c r="G218" s="2057"/>
      <c r="H218" s="2058"/>
      <c r="I218" s="2060"/>
      <c r="J218" s="2059"/>
      <c r="K218" s="2057"/>
      <c r="L218" s="2058"/>
      <c r="M218" s="1267"/>
    </row>
    <row r="219" spans="1:24" ht="15" customHeight="1" x14ac:dyDescent="0.25">
      <c r="A219" s="941" t="s">
        <v>2378</v>
      </c>
      <c r="B219" s="785"/>
      <c r="C219" s="755">
        <v>0</v>
      </c>
      <c r="D219" s="755">
        <v>0</v>
      </c>
      <c r="E219" s="758">
        <v>0</v>
      </c>
      <c r="F219" s="757">
        <v>0</v>
      </c>
      <c r="G219" s="755">
        <v>0</v>
      </c>
      <c r="H219" s="758">
        <v>0</v>
      </c>
      <c r="I219" s="756">
        <v>0</v>
      </c>
      <c r="J219" s="757">
        <v>0</v>
      </c>
      <c r="K219" s="755">
        <v>0</v>
      </c>
      <c r="L219" s="758">
        <v>0</v>
      </c>
      <c r="M219" s="1267"/>
    </row>
    <row r="220" spans="1:24" ht="11.25" customHeight="1" x14ac:dyDescent="0.25">
      <c r="A220" s="941" t="s">
        <v>2330</v>
      </c>
      <c r="B220" s="279"/>
      <c r="C220" s="2057">
        <v>0</v>
      </c>
      <c r="D220" s="2057">
        <v>0</v>
      </c>
      <c r="E220" s="2058">
        <v>0</v>
      </c>
      <c r="F220" s="2059">
        <v>0</v>
      </c>
      <c r="G220" s="2057">
        <v>0</v>
      </c>
      <c r="H220" s="2058">
        <v>0</v>
      </c>
      <c r="I220" s="2060">
        <v>0</v>
      </c>
      <c r="J220" s="2059">
        <v>0</v>
      </c>
      <c r="K220" s="2057">
        <v>0</v>
      </c>
      <c r="L220" s="2058">
        <v>0</v>
      </c>
      <c r="M220" s="1267"/>
    </row>
    <row r="221" spans="1:24" ht="11.25" hidden="1" customHeight="1" x14ac:dyDescent="0.25">
      <c r="A221" s="941">
        <v>0</v>
      </c>
      <c r="B221" s="279"/>
      <c r="C221" s="2057"/>
      <c r="D221" s="2057"/>
      <c r="E221" s="2058"/>
      <c r="F221" s="2059"/>
      <c r="G221" s="2057"/>
      <c r="H221" s="2058"/>
      <c r="I221" s="2060"/>
      <c r="J221" s="2059"/>
      <c r="K221" s="2057"/>
      <c r="L221" s="2058"/>
      <c r="M221" s="1267"/>
    </row>
    <row r="222" spans="1:24" ht="11.25" hidden="1" customHeight="1" x14ac:dyDescent="0.25">
      <c r="A222" s="941">
        <v>0</v>
      </c>
      <c r="B222" s="279"/>
      <c r="C222" s="2057"/>
      <c r="D222" s="2057"/>
      <c r="E222" s="2058"/>
      <c r="F222" s="2059"/>
      <c r="G222" s="2057"/>
      <c r="H222" s="2058"/>
      <c r="I222" s="2060"/>
      <c r="J222" s="2059"/>
      <c r="K222" s="2057"/>
      <c r="L222" s="2058"/>
      <c r="M222" s="1267"/>
    </row>
    <row r="223" spans="1:24" ht="11.25" hidden="1" customHeight="1" x14ac:dyDescent="0.25">
      <c r="A223" s="941">
        <v>0</v>
      </c>
      <c r="B223" s="279"/>
      <c r="C223" s="2057"/>
      <c r="D223" s="2057"/>
      <c r="E223" s="2058"/>
      <c r="F223" s="2059"/>
      <c r="G223" s="2057"/>
      <c r="H223" s="2058"/>
      <c r="I223" s="2060"/>
      <c r="J223" s="2059"/>
      <c r="K223" s="2057"/>
      <c r="L223" s="2058"/>
      <c r="M223" s="1267"/>
    </row>
    <row r="224" spans="1:24" ht="11.25" hidden="1" customHeight="1" x14ac:dyDescent="0.25">
      <c r="A224" s="941">
        <v>0</v>
      </c>
      <c r="B224" s="279"/>
      <c r="C224" s="2057"/>
      <c r="D224" s="2057"/>
      <c r="E224" s="2058"/>
      <c r="F224" s="2059"/>
      <c r="G224" s="2057"/>
      <c r="H224" s="2058"/>
      <c r="I224" s="2060"/>
      <c r="J224" s="2059"/>
      <c r="K224" s="2057"/>
      <c r="L224" s="2058"/>
      <c r="M224" s="1267"/>
    </row>
    <row r="225" spans="1:13" ht="11.25" hidden="1" customHeight="1" x14ac:dyDescent="0.25">
      <c r="A225" s="941">
        <v>0</v>
      </c>
      <c r="B225" s="279"/>
      <c r="C225" s="2057"/>
      <c r="D225" s="2057"/>
      <c r="E225" s="2058"/>
      <c r="F225" s="2059"/>
      <c r="G225" s="2057"/>
      <c r="H225" s="2058"/>
      <c r="I225" s="2060"/>
      <c r="J225" s="2059"/>
      <c r="K225" s="2057"/>
      <c r="L225" s="2058"/>
      <c r="M225" s="1267"/>
    </row>
    <row r="226" spans="1:13" ht="11.25" hidden="1" customHeight="1" x14ac:dyDescent="0.25">
      <c r="A226" s="941">
        <v>0</v>
      </c>
      <c r="B226" s="279"/>
      <c r="C226" s="2057"/>
      <c r="D226" s="2057"/>
      <c r="E226" s="2058"/>
      <c r="F226" s="2059"/>
      <c r="G226" s="2057"/>
      <c r="H226" s="2058"/>
      <c r="I226" s="2060"/>
      <c r="J226" s="2059"/>
      <c r="K226" s="2057"/>
      <c r="L226" s="2058"/>
      <c r="M226" s="1267"/>
    </row>
    <row r="227" spans="1:13" ht="11.25" hidden="1" customHeight="1" x14ac:dyDescent="0.25">
      <c r="A227" s="941">
        <v>0</v>
      </c>
      <c r="B227" s="279"/>
      <c r="C227" s="2057"/>
      <c r="D227" s="2057"/>
      <c r="E227" s="2058"/>
      <c r="F227" s="2059"/>
      <c r="G227" s="2057"/>
      <c r="H227" s="2058"/>
      <c r="I227" s="2060"/>
      <c r="J227" s="2059"/>
      <c r="K227" s="2057"/>
      <c r="L227" s="2058"/>
      <c r="M227" s="1267"/>
    </row>
    <row r="228" spans="1:13" ht="11.25" hidden="1" customHeight="1" x14ac:dyDescent="0.25">
      <c r="A228" s="941">
        <v>0</v>
      </c>
      <c r="B228" s="279"/>
      <c r="C228" s="2057"/>
      <c r="D228" s="2057"/>
      <c r="E228" s="2058"/>
      <c r="F228" s="2059"/>
      <c r="G228" s="2057"/>
      <c r="H228" s="2058"/>
      <c r="I228" s="2060"/>
      <c r="J228" s="2059"/>
      <c r="K228" s="2057"/>
      <c r="L228" s="2058"/>
      <c r="M228" s="1267"/>
    </row>
    <row r="229" spans="1:13" ht="11.25" hidden="1" customHeight="1" x14ac:dyDescent="0.25">
      <c r="A229" s="941">
        <v>0</v>
      </c>
      <c r="B229" s="279"/>
      <c r="C229" s="2057"/>
      <c r="D229" s="2057"/>
      <c r="E229" s="2058"/>
      <c r="F229" s="2059"/>
      <c r="G229" s="2057"/>
      <c r="H229" s="2058"/>
      <c r="I229" s="2060"/>
      <c r="J229" s="2059"/>
      <c r="K229" s="2057"/>
      <c r="L229" s="2058"/>
      <c r="M229" s="1267"/>
    </row>
    <row r="230" spans="1:13" ht="15" customHeight="1" x14ac:dyDescent="0.25">
      <c r="A230" s="941" t="s">
        <v>2379</v>
      </c>
      <c r="B230" s="785"/>
      <c r="C230" s="755">
        <v>10103273</v>
      </c>
      <c r="D230" s="755">
        <v>1777902.5199999996</v>
      </c>
      <c r="E230" s="758">
        <v>1967955.18</v>
      </c>
      <c r="F230" s="757">
        <v>5150000</v>
      </c>
      <c r="G230" s="755">
        <v>5150000</v>
      </c>
      <c r="H230" s="758">
        <v>5150000</v>
      </c>
      <c r="I230" s="756">
        <v>5150000</v>
      </c>
      <c r="J230" s="757">
        <v>4613700</v>
      </c>
      <c r="K230" s="755">
        <v>7500000</v>
      </c>
      <c r="L230" s="758">
        <v>12843000</v>
      </c>
    </row>
    <row r="231" spans="1:13" ht="11.25" customHeight="1" x14ac:dyDescent="0.25">
      <c r="A231" s="941" t="s">
        <v>2331</v>
      </c>
      <c r="B231" s="279"/>
      <c r="C231" s="2057">
        <v>0</v>
      </c>
      <c r="D231" s="2057">
        <v>0</v>
      </c>
      <c r="E231" s="2058">
        <v>0</v>
      </c>
      <c r="F231" s="2059">
        <v>0</v>
      </c>
      <c r="G231" s="2057">
        <v>0</v>
      </c>
      <c r="H231" s="2058">
        <v>0</v>
      </c>
      <c r="I231" s="2060">
        <v>0</v>
      </c>
      <c r="J231" s="2059">
        <v>0</v>
      </c>
      <c r="K231" s="2057">
        <v>0</v>
      </c>
      <c r="L231" s="2058">
        <v>0</v>
      </c>
    </row>
    <row r="232" spans="1:13" ht="11.25" customHeight="1" x14ac:dyDescent="0.25">
      <c r="A232" s="941" t="s">
        <v>2332</v>
      </c>
      <c r="B232" s="279"/>
      <c r="C232" s="2057">
        <v>1003273</v>
      </c>
      <c r="D232" s="2057">
        <v>1777902.5199999996</v>
      </c>
      <c r="E232" s="2058">
        <v>1967955.18</v>
      </c>
      <c r="F232" s="2059">
        <v>5150000</v>
      </c>
      <c r="G232" s="2057">
        <v>5150000</v>
      </c>
      <c r="H232" s="2058">
        <v>5150000</v>
      </c>
      <c r="I232" s="2060">
        <v>5150000</v>
      </c>
      <c r="J232" s="2059">
        <v>4613700</v>
      </c>
      <c r="K232" s="2057">
        <v>7500000</v>
      </c>
      <c r="L232" s="2058">
        <v>12843000</v>
      </c>
    </row>
    <row r="233" spans="1:13" ht="11.25" customHeight="1" x14ac:dyDescent="0.25">
      <c r="A233" s="941" t="s">
        <v>2333</v>
      </c>
      <c r="B233" s="279"/>
      <c r="C233" s="2057">
        <v>9100000</v>
      </c>
      <c r="D233" s="2057">
        <v>0</v>
      </c>
      <c r="E233" s="2058">
        <v>0</v>
      </c>
      <c r="F233" s="2059">
        <v>0</v>
      </c>
      <c r="G233" s="2057">
        <v>0</v>
      </c>
      <c r="H233" s="2058">
        <v>0</v>
      </c>
      <c r="I233" s="2060">
        <v>0</v>
      </c>
      <c r="J233" s="2059">
        <v>0</v>
      </c>
      <c r="K233" s="2057">
        <v>0</v>
      </c>
      <c r="L233" s="2058">
        <v>0</v>
      </c>
    </row>
    <row r="234" spans="1:13" ht="11.25" customHeight="1" x14ac:dyDescent="0.25">
      <c r="A234" s="941" t="s">
        <v>2334</v>
      </c>
      <c r="B234" s="279"/>
      <c r="C234" s="2057">
        <v>0</v>
      </c>
      <c r="D234" s="2057">
        <v>0</v>
      </c>
      <c r="E234" s="2058">
        <v>0</v>
      </c>
      <c r="F234" s="2059">
        <v>0</v>
      </c>
      <c r="G234" s="2057">
        <v>0</v>
      </c>
      <c r="H234" s="2058">
        <v>0</v>
      </c>
      <c r="I234" s="2060">
        <v>0</v>
      </c>
      <c r="J234" s="2059">
        <v>0</v>
      </c>
      <c r="K234" s="2057">
        <v>0</v>
      </c>
      <c r="L234" s="2058">
        <v>0</v>
      </c>
    </row>
    <row r="235" spans="1:13" ht="11.25" hidden="1" customHeight="1" x14ac:dyDescent="0.25">
      <c r="A235" s="941">
        <v>0</v>
      </c>
      <c r="B235" s="279"/>
      <c r="C235" s="2057"/>
      <c r="D235" s="2057"/>
      <c r="E235" s="2058"/>
      <c r="F235" s="2059"/>
      <c r="G235" s="2057"/>
      <c r="H235" s="2058"/>
      <c r="I235" s="2060"/>
      <c r="J235" s="2059"/>
      <c r="K235" s="2057"/>
      <c r="L235" s="2058"/>
    </row>
    <row r="236" spans="1:13" ht="11.25" hidden="1" customHeight="1" x14ac:dyDescent="0.25">
      <c r="A236" s="941">
        <v>0</v>
      </c>
      <c r="B236" s="279"/>
      <c r="C236" s="2057"/>
      <c r="D236" s="2057"/>
      <c r="E236" s="2058"/>
      <c r="F236" s="2059"/>
      <c r="G236" s="2057"/>
      <c r="H236" s="2058"/>
      <c r="I236" s="2060"/>
      <c r="J236" s="2059"/>
      <c r="K236" s="2057"/>
      <c r="L236" s="2058"/>
    </row>
    <row r="237" spans="1:13" ht="11.25" hidden="1" customHeight="1" x14ac:dyDescent="0.25">
      <c r="A237" s="941">
        <v>0</v>
      </c>
      <c r="B237" s="279"/>
      <c r="C237" s="2057"/>
      <c r="D237" s="2057"/>
      <c r="E237" s="2058"/>
      <c r="F237" s="2059"/>
      <c r="G237" s="2057"/>
      <c r="H237" s="2058"/>
      <c r="I237" s="2060"/>
      <c r="J237" s="2059"/>
      <c r="K237" s="2057"/>
      <c r="L237" s="2058"/>
    </row>
    <row r="238" spans="1:13" ht="11.25" hidden="1" customHeight="1" x14ac:dyDescent="0.25">
      <c r="A238" s="941">
        <v>0</v>
      </c>
      <c r="B238" s="279"/>
      <c r="C238" s="2057"/>
      <c r="D238" s="2057"/>
      <c r="E238" s="2058"/>
      <c r="F238" s="2059"/>
      <c r="G238" s="2057"/>
      <c r="H238" s="2058"/>
      <c r="I238" s="2060"/>
      <c r="J238" s="2059"/>
      <c r="K238" s="2057"/>
      <c r="L238" s="2058"/>
    </row>
    <row r="239" spans="1:13" ht="11.25" hidden="1" customHeight="1" x14ac:dyDescent="0.25">
      <c r="A239" s="941">
        <v>0</v>
      </c>
      <c r="B239" s="279"/>
      <c r="C239" s="2057"/>
      <c r="D239" s="2057"/>
      <c r="E239" s="2058"/>
      <c r="F239" s="2059"/>
      <c r="G239" s="2057"/>
      <c r="H239" s="2058"/>
      <c r="I239" s="2060"/>
      <c r="J239" s="2059"/>
      <c r="K239" s="2057"/>
      <c r="L239" s="2058"/>
    </row>
    <row r="240" spans="1:13" ht="11.25" hidden="1" customHeight="1" x14ac:dyDescent="0.25">
      <c r="A240" s="941">
        <v>0</v>
      </c>
      <c r="B240" s="279"/>
      <c r="C240" s="2057"/>
      <c r="D240" s="2057"/>
      <c r="E240" s="2058"/>
      <c r="F240" s="2059"/>
      <c r="G240" s="2057"/>
      <c r="H240" s="2058"/>
      <c r="I240" s="2060"/>
      <c r="J240" s="2059"/>
      <c r="K240" s="2057"/>
      <c r="L240" s="2058"/>
    </row>
    <row r="241" spans="1:12" ht="15" customHeight="1" x14ac:dyDescent="0.25">
      <c r="A241" s="941" t="s">
        <v>2380</v>
      </c>
      <c r="B241" s="785"/>
      <c r="C241" s="755">
        <v>0</v>
      </c>
      <c r="D241" s="755">
        <v>0</v>
      </c>
      <c r="E241" s="758">
        <v>0</v>
      </c>
      <c r="F241" s="757">
        <v>0</v>
      </c>
      <c r="G241" s="755">
        <v>0</v>
      </c>
      <c r="H241" s="758">
        <v>0</v>
      </c>
      <c r="I241" s="756">
        <v>0</v>
      </c>
      <c r="J241" s="757">
        <v>0</v>
      </c>
      <c r="K241" s="755">
        <v>0</v>
      </c>
      <c r="L241" s="758">
        <v>0</v>
      </c>
    </row>
    <row r="242" spans="1:12" ht="11.25" customHeight="1" x14ac:dyDescent="0.25">
      <c r="A242" s="941" t="s">
        <v>2335</v>
      </c>
      <c r="B242" s="279"/>
      <c r="C242" s="2057">
        <v>0</v>
      </c>
      <c r="D242" s="2057">
        <v>0</v>
      </c>
      <c r="E242" s="2058">
        <v>0</v>
      </c>
      <c r="F242" s="2059">
        <v>0</v>
      </c>
      <c r="G242" s="2057">
        <v>0</v>
      </c>
      <c r="H242" s="2058">
        <v>0</v>
      </c>
      <c r="I242" s="2060">
        <v>0</v>
      </c>
      <c r="J242" s="2059">
        <v>0</v>
      </c>
      <c r="K242" s="2057">
        <v>0</v>
      </c>
      <c r="L242" s="2058">
        <v>0</v>
      </c>
    </row>
    <row r="243" spans="1:12" ht="11.25" hidden="1" customHeight="1" x14ac:dyDescent="0.25">
      <c r="A243" s="941">
        <v>0</v>
      </c>
      <c r="B243" s="279"/>
      <c r="C243" s="2057"/>
      <c r="D243" s="2057"/>
      <c r="E243" s="2058"/>
      <c r="F243" s="2059"/>
      <c r="G243" s="2057"/>
      <c r="H243" s="2058"/>
      <c r="I243" s="2060"/>
      <c r="J243" s="2059"/>
      <c r="K243" s="2057"/>
      <c r="L243" s="2058"/>
    </row>
    <row r="244" spans="1:12" ht="11.25" hidden="1" customHeight="1" x14ac:dyDescent="0.25">
      <c r="A244" s="941">
        <v>0</v>
      </c>
      <c r="B244" s="279"/>
      <c r="C244" s="2057"/>
      <c r="D244" s="2057"/>
      <c r="E244" s="2058"/>
      <c r="F244" s="2059"/>
      <c r="G244" s="2057"/>
      <c r="H244" s="2058"/>
      <c r="I244" s="2060"/>
      <c r="J244" s="2059"/>
      <c r="K244" s="2057"/>
      <c r="L244" s="2058"/>
    </row>
    <row r="245" spans="1:12" ht="11.25" hidden="1" customHeight="1" x14ac:dyDescent="0.25">
      <c r="A245" s="941">
        <v>0</v>
      </c>
      <c r="B245" s="279"/>
      <c r="C245" s="2057"/>
      <c r="D245" s="2057"/>
      <c r="E245" s="2058"/>
      <c r="F245" s="2059"/>
      <c r="G245" s="2057"/>
      <c r="H245" s="2058"/>
      <c r="I245" s="2060"/>
      <c r="J245" s="2059"/>
      <c r="K245" s="2057"/>
      <c r="L245" s="2058"/>
    </row>
    <row r="246" spans="1:12" ht="11.25" hidden="1" customHeight="1" x14ac:dyDescent="0.25">
      <c r="A246" s="941">
        <v>0</v>
      </c>
      <c r="B246" s="279"/>
      <c r="C246" s="2057"/>
      <c r="D246" s="2057"/>
      <c r="E246" s="2058"/>
      <c r="F246" s="2059"/>
      <c r="G246" s="2057"/>
      <c r="H246" s="2058"/>
      <c r="I246" s="2060"/>
      <c r="J246" s="2059"/>
      <c r="K246" s="2057"/>
      <c r="L246" s="2058"/>
    </row>
    <row r="247" spans="1:12" ht="11.25" hidden="1" customHeight="1" x14ac:dyDescent="0.25">
      <c r="A247" s="941">
        <v>0</v>
      </c>
      <c r="B247" s="279"/>
      <c r="C247" s="2057"/>
      <c r="D247" s="2057"/>
      <c r="E247" s="2058"/>
      <c r="F247" s="2059"/>
      <c r="G247" s="2057"/>
      <c r="H247" s="2058"/>
      <c r="I247" s="2060"/>
      <c r="J247" s="2059"/>
      <c r="K247" s="2057"/>
      <c r="L247" s="2058"/>
    </row>
    <row r="248" spans="1:12" ht="11.25" hidden="1" customHeight="1" x14ac:dyDescent="0.25">
      <c r="A248" s="941">
        <v>0</v>
      </c>
      <c r="B248" s="279"/>
      <c r="C248" s="2057"/>
      <c r="D248" s="2057"/>
      <c r="E248" s="2058"/>
      <c r="F248" s="2059"/>
      <c r="G248" s="2057"/>
      <c r="H248" s="2058"/>
      <c r="I248" s="2060"/>
      <c r="J248" s="2059"/>
      <c r="K248" s="2057"/>
      <c r="L248" s="2058"/>
    </row>
    <row r="249" spans="1:12" ht="11.25" hidden="1" customHeight="1" x14ac:dyDescent="0.25">
      <c r="A249" s="941">
        <v>0</v>
      </c>
      <c r="B249" s="279"/>
      <c r="C249" s="2057"/>
      <c r="D249" s="2057"/>
      <c r="E249" s="2058"/>
      <c r="F249" s="2059"/>
      <c r="G249" s="2057"/>
      <c r="H249" s="2058"/>
      <c r="I249" s="2060"/>
      <c r="J249" s="2059"/>
      <c r="K249" s="2057"/>
      <c r="L249" s="2058"/>
    </row>
    <row r="250" spans="1:12" ht="11.25" hidden="1" customHeight="1" x14ac:dyDescent="0.25">
      <c r="A250" s="941">
        <v>0</v>
      </c>
      <c r="B250" s="279"/>
      <c r="C250" s="2057"/>
      <c r="D250" s="2057"/>
      <c r="E250" s="2058"/>
      <c r="F250" s="2059"/>
      <c r="G250" s="2057"/>
      <c r="H250" s="2058"/>
      <c r="I250" s="2060"/>
      <c r="J250" s="2059"/>
      <c r="K250" s="2057"/>
      <c r="L250" s="2058"/>
    </row>
    <row r="251" spans="1:12" ht="11.25" hidden="1" customHeight="1" x14ac:dyDescent="0.25">
      <c r="A251" s="941">
        <v>0</v>
      </c>
      <c r="B251" s="279"/>
      <c r="C251" s="2057"/>
      <c r="D251" s="2057"/>
      <c r="E251" s="2058"/>
      <c r="F251" s="2059"/>
      <c r="G251" s="2057"/>
      <c r="H251" s="2058"/>
      <c r="I251" s="2060"/>
      <c r="J251" s="2059"/>
      <c r="K251" s="2057"/>
      <c r="L251" s="2058"/>
    </row>
    <row r="252" spans="1:12" ht="15" customHeight="1" x14ac:dyDescent="0.25">
      <c r="A252" s="941" t="s">
        <v>2381</v>
      </c>
      <c r="B252" s="279"/>
      <c r="C252" s="755">
        <v>0</v>
      </c>
      <c r="D252" s="755">
        <v>0</v>
      </c>
      <c r="E252" s="758">
        <v>0</v>
      </c>
      <c r="F252" s="757">
        <v>0</v>
      </c>
      <c r="G252" s="755">
        <v>0</v>
      </c>
      <c r="H252" s="758">
        <v>0</v>
      </c>
      <c r="I252" s="756">
        <v>0</v>
      </c>
      <c r="J252" s="757">
        <v>0</v>
      </c>
      <c r="K252" s="755">
        <v>0</v>
      </c>
      <c r="L252" s="758">
        <v>0</v>
      </c>
    </row>
    <row r="253" spans="1:12" x14ac:dyDescent="0.25">
      <c r="A253" s="941" t="s">
        <v>2336</v>
      </c>
      <c r="B253" s="279"/>
      <c r="C253" s="2057">
        <v>0</v>
      </c>
      <c r="D253" s="2057">
        <v>0</v>
      </c>
      <c r="E253" s="2060">
        <v>0</v>
      </c>
      <c r="F253" s="2059">
        <v>0</v>
      </c>
      <c r="G253" s="2057">
        <v>0</v>
      </c>
      <c r="H253" s="2058">
        <v>0</v>
      </c>
      <c r="I253" s="2060">
        <v>0</v>
      </c>
      <c r="J253" s="2059">
        <v>0</v>
      </c>
      <c r="K253" s="2057">
        <v>0</v>
      </c>
      <c r="L253" s="2058">
        <v>0</v>
      </c>
    </row>
    <row r="254" spans="1:12" hidden="1" x14ac:dyDescent="0.25">
      <c r="A254" s="941">
        <v>0</v>
      </c>
      <c r="B254" s="279"/>
      <c r="C254" s="2057"/>
      <c r="D254" s="2057"/>
      <c r="E254" s="2060"/>
      <c r="F254" s="2059"/>
      <c r="G254" s="2057"/>
      <c r="H254" s="2058"/>
      <c r="I254" s="2060"/>
      <c r="J254" s="2059"/>
      <c r="K254" s="2057"/>
      <c r="L254" s="2058"/>
    </row>
    <row r="255" spans="1:12" hidden="1" x14ac:dyDescent="0.25">
      <c r="A255" s="941">
        <v>0</v>
      </c>
      <c r="B255" s="279"/>
      <c r="C255" s="2057"/>
      <c r="D255" s="2057"/>
      <c r="E255" s="2060"/>
      <c r="F255" s="2059"/>
      <c r="G255" s="2057"/>
      <c r="H255" s="2058"/>
      <c r="I255" s="2060"/>
      <c r="J255" s="2059"/>
      <c r="K255" s="2057"/>
      <c r="L255" s="2058"/>
    </row>
    <row r="256" spans="1:12" hidden="1" x14ac:dyDescent="0.25">
      <c r="A256" s="941">
        <v>0</v>
      </c>
      <c r="B256" s="279"/>
      <c r="C256" s="2057"/>
      <c r="D256" s="2057"/>
      <c r="E256" s="2060"/>
      <c r="F256" s="2059"/>
      <c r="G256" s="2057"/>
      <c r="H256" s="2058"/>
      <c r="I256" s="2060"/>
      <c r="J256" s="2059"/>
      <c r="K256" s="2057"/>
      <c r="L256" s="2058"/>
    </row>
    <row r="257" spans="1:12" hidden="1" x14ac:dyDescent="0.25">
      <c r="A257" s="941">
        <v>0</v>
      </c>
      <c r="B257" s="279"/>
      <c r="C257" s="2057"/>
      <c r="D257" s="2057"/>
      <c r="E257" s="2060"/>
      <c r="F257" s="2059"/>
      <c r="G257" s="2057"/>
      <c r="H257" s="2058"/>
      <c r="I257" s="2060"/>
      <c r="J257" s="2059"/>
      <c r="K257" s="2057"/>
      <c r="L257" s="2058"/>
    </row>
    <row r="258" spans="1:12" hidden="1" x14ac:dyDescent="0.25">
      <c r="A258" s="941">
        <v>0</v>
      </c>
      <c r="B258" s="279"/>
      <c r="C258" s="2057"/>
      <c r="D258" s="2057"/>
      <c r="E258" s="2060"/>
      <c r="F258" s="2059"/>
      <c r="G258" s="2057"/>
      <c r="H258" s="2058"/>
      <c r="I258" s="2060"/>
      <c r="J258" s="2059"/>
      <c r="K258" s="2057"/>
      <c r="L258" s="2058"/>
    </row>
    <row r="259" spans="1:12" hidden="1" x14ac:dyDescent="0.25">
      <c r="A259" s="941">
        <v>0</v>
      </c>
      <c r="B259" s="279"/>
      <c r="C259" s="2057"/>
      <c r="D259" s="2057"/>
      <c r="E259" s="2060"/>
      <c r="F259" s="2059"/>
      <c r="G259" s="2057"/>
      <c r="H259" s="2058"/>
      <c r="I259" s="2060"/>
      <c r="J259" s="2059"/>
      <c r="K259" s="2057"/>
      <c r="L259" s="2058"/>
    </row>
    <row r="260" spans="1:12" hidden="1" x14ac:dyDescent="0.25">
      <c r="A260" s="941">
        <v>0</v>
      </c>
      <c r="B260" s="279"/>
      <c r="C260" s="2057"/>
      <c r="D260" s="2057"/>
      <c r="E260" s="2060"/>
      <c r="F260" s="2059"/>
      <c r="G260" s="2057"/>
      <c r="H260" s="2058"/>
      <c r="I260" s="2060"/>
      <c r="J260" s="2059"/>
      <c r="K260" s="2057"/>
      <c r="L260" s="2058"/>
    </row>
    <row r="261" spans="1:12" hidden="1" x14ac:dyDescent="0.25">
      <c r="A261" s="941">
        <v>0</v>
      </c>
      <c r="B261" s="279"/>
      <c r="C261" s="2057"/>
      <c r="D261" s="2057"/>
      <c r="E261" s="2060"/>
      <c r="F261" s="2059"/>
      <c r="G261" s="2057"/>
      <c r="H261" s="2058"/>
      <c r="I261" s="2060"/>
      <c r="J261" s="2059"/>
      <c r="K261" s="2057"/>
      <c r="L261" s="2058"/>
    </row>
    <row r="262" spans="1:12" hidden="1" x14ac:dyDescent="0.25">
      <c r="A262" s="941">
        <v>0</v>
      </c>
      <c r="B262" s="279"/>
      <c r="C262" s="2057"/>
      <c r="D262" s="2057"/>
      <c r="E262" s="2060"/>
      <c r="F262" s="2059"/>
      <c r="G262" s="2057"/>
      <c r="H262" s="2058"/>
      <c r="I262" s="2060"/>
      <c r="J262" s="2059"/>
      <c r="K262" s="2057"/>
      <c r="L262" s="2058"/>
    </row>
    <row r="263" spans="1:12" ht="15" customHeight="1" x14ac:dyDescent="0.25">
      <c r="A263" s="941" t="s">
        <v>2382</v>
      </c>
      <c r="B263" s="279"/>
      <c r="C263" s="755">
        <v>1610058</v>
      </c>
      <c r="D263" s="755">
        <v>760409.79</v>
      </c>
      <c r="E263" s="758">
        <v>609688.19999999995</v>
      </c>
      <c r="F263" s="757">
        <v>2950000</v>
      </c>
      <c r="G263" s="755">
        <v>2950000</v>
      </c>
      <c r="H263" s="758">
        <v>2950000</v>
      </c>
      <c r="I263" s="756">
        <v>2950000</v>
      </c>
      <c r="J263" s="757">
        <v>5336300</v>
      </c>
      <c r="K263" s="755">
        <v>3700000</v>
      </c>
      <c r="L263" s="758">
        <v>0</v>
      </c>
    </row>
    <row r="264" spans="1:12" x14ac:dyDescent="0.25">
      <c r="A264" s="941" t="s">
        <v>2338</v>
      </c>
      <c r="B264" s="279"/>
      <c r="C264" s="2057">
        <v>1610058</v>
      </c>
      <c r="D264" s="2057">
        <v>760409.79</v>
      </c>
      <c r="E264" s="2060">
        <v>609688.19999999995</v>
      </c>
      <c r="F264" s="2059">
        <v>2950000</v>
      </c>
      <c r="G264" s="2057">
        <v>2950000</v>
      </c>
      <c r="H264" s="2058">
        <v>2950000</v>
      </c>
      <c r="I264" s="2060">
        <v>2950000</v>
      </c>
      <c r="J264" s="2059">
        <v>0</v>
      </c>
      <c r="K264" s="2057">
        <v>0</v>
      </c>
      <c r="L264" s="2058">
        <v>0</v>
      </c>
    </row>
    <row r="265" spans="1:12" x14ac:dyDescent="0.25">
      <c r="A265" s="941" t="s">
        <v>2337</v>
      </c>
      <c r="B265" s="279"/>
      <c r="C265" s="2057">
        <v>0</v>
      </c>
      <c r="D265" s="2057">
        <v>0</v>
      </c>
      <c r="E265" s="2060">
        <v>0</v>
      </c>
      <c r="F265" s="2059">
        <v>0</v>
      </c>
      <c r="G265" s="2057">
        <v>0</v>
      </c>
      <c r="H265" s="2058">
        <v>0</v>
      </c>
      <c r="I265" s="2060">
        <v>0</v>
      </c>
      <c r="J265" s="2059">
        <v>5336300</v>
      </c>
      <c r="K265" s="2057">
        <v>3700000</v>
      </c>
      <c r="L265" s="2058">
        <v>0</v>
      </c>
    </row>
    <row r="266" spans="1:12" hidden="1" x14ac:dyDescent="0.25">
      <c r="A266" s="941">
        <v>0</v>
      </c>
      <c r="B266" s="279"/>
      <c r="C266" s="2057"/>
      <c r="D266" s="2057"/>
      <c r="E266" s="2060"/>
      <c r="F266" s="2059"/>
      <c r="G266" s="2057"/>
      <c r="H266" s="2058"/>
      <c r="I266" s="2060"/>
      <c r="J266" s="2059"/>
      <c r="K266" s="2057"/>
      <c r="L266" s="2058"/>
    </row>
    <row r="267" spans="1:12" hidden="1" x14ac:dyDescent="0.25">
      <c r="A267" s="941">
        <v>0</v>
      </c>
      <c r="B267" s="279"/>
      <c r="C267" s="2057"/>
      <c r="D267" s="2057"/>
      <c r="E267" s="2060"/>
      <c r="F267" s="2059"/>
      <c r="G267" s="2057"/>
      <c r="H267" s="2058"/>
      <c r="I267" s="2060"/>
      <c r="J267" s="2059"/>
      <c r="K267" s="2057"/>
      <c r="L267" s="2058"/>
    </row>
    <row r="268" spans="1:12" hidden="1" x14ac:dyDescent="0.25">
      <c r="A268" s="941">
        <v>0</v>
      </c>
      <c r="B268" s="279"/>
      <c r="C268" s="2057"/>
      <c r="D268" s="2057"/>
      <c r="E268" s="2060"/>
      <c r="F268" s="2059"/>
      <c r="G268" s="2057"/>
      <c r="H268" s="2058"/>
      <c r="I268" s="2060"/>
      <c r="J268" s="2059"/>
      <c r="K268" s="2057"/>
      <c r="L268" s="2058"/>
    </row>
    <row r="269" spans="1:12" hidden="1" x14ac:dyDescent="0.25">
      <c r="A269" s="941">
        <v>0</v>
      </c>
      <c r="B269" s="279"/>
      <c r="C269" s="2057"/>
      <c r="D269" s="2057"/>
      <c r="E269" s="2060"/>
      <c r="F269" s="2059"/>
      <c r="G269" s="2057"/>
      <c r="H269" s="2058"/>
      <c r="I269" s="2060"/>
      <c r="J269" s="2059"/>
      <c r="K269" s="2057"/>
      <c r="L269" s="2058"/>
    </row>
    <row r="270" spans="1:12" hidden="1" x14ac:dyDescent="0.25">
      <c r="A270" s="941">
        <v>0</v>
      </c>
      <c r="B270" s="279"/>
      <c r="C270" s="2057"/>
      <c r="D270" s="2057"/>
      <c r="E270" s="2060"/>
      <c r="F270" s="2059"/>
      <c r="G270" s="2057"/>
      <c r="H270" s="2058"/>
      <c r="I270" s="2060"/>
      <c r="J270" s="2059"/>
      <c r="K270" s="2057"/>
      <c r="L270" s="2058"/>
    </row>
    <row r="271" spans="1:12" hidden="1" x14ac:dyDescent="0.25">
      <c r="A271" s="941">
        <v>0</v>
      </c>
      <c r="B271" s="279"/>
      <c r="C271" s="2057"/>
      <c r="D271" s="2057"/>
      <c r="E271" s="2060"/>
      <c r="F271" s="2059"/>
      <c r="G271" s="2057"/>
      <c r="H271" s="2058"/>
      <c r="I271" s="2060"/>
      <c r="J271" s="2059"/>
      <c r="K271" s="2057"/>
      <c r="L271" s="2058"/>
    </row>
    <row r="272" spans="1:12" hidden="1" x14ac:dyDescent="0.25">
      <c r="A272" s="941">
        <v>0</v>
      </c>
      <c r="B272" s="279"/>
      <c r="C272" s="2057"/>
      <c r="D272" s="2057"/>
      <c r="E272" s="2060"/>
      <c r="F272" s="2059"/>
      <c r="G272" s="2057"/>
      <c r="H272" s="2058"/>
      <c r="I272" s="2060"/>
      <c r="J272" s="2059"/>
      <c r="K272" s="2057"/>
      <c r="L272" s="2058"/>
    </row>
    <row r="273" spans="1:12" hidden="1" x14ac:dyDescent="0.25">
      <c r="A273" s="941">
        <v>0</v>
      </c>
      <c r="B273" s="279"/>
      <c r="C273" s="2057"/>
      <c r="D273" s="2057"/>
      <c r="E273" s="2060"/>
      <c r="F273" s="2059"/>
      <c r="G273" s="2057"/>
      <c r="H273" s="2058"/>
      <c r="I273" s="2060"/>
      <c r="J273" s="2059"/>
      <c r="K273" s="2057"/>
      <c r="L273" s="2058"/>
    </row>
    <row r="274" spans="1:12" ht="15" customHeight="1" x14ac:dyDescent="0.25">
      <c r="A274" s="941" t="s">
        <v>2383</v>
      </c>
      <c r="B274" s="279"/>
      <c r="C274" s="755">
        <v>1293047</v>
      </c>
      <c r="D274" s="755">
        <v>8566425.4400000013</v>
      </c>
      <c r="E274" s="758">
        <v>1146483.99</v>
      </c>
      <c r="F274" s="757">
        <v>200000</v>
      </c>
      <c r="G274" s="755">
        <v>200000</v>
      </c>
      <c r="H274" s="758">
        <v>200000</v>
      </c>
      <c r="I274" s="756">
        <v>200000</v>
      </c>
      <c r="J274" s="757">
        <v>0</v>
      </c>
      <c r="K274" s="755">
        <v>1750000</v>
      </c>
      <c r="L274" s="758">
        <v>0</v>
      </c>
    </row>
    <row r="275" spans="1:12" x14ac:dyDescent="0.25">
      <c r="A275" s="941" t="s">
        <v>2339</v>
      </c>
      <c r="B275" s="279"/>
      <c r="C275" s="2057">
        <v>1293047</v>
      </c>
      <c r="D275" s="2057">
        <v>8566425.4400000013</v>
      </c>
      <c r="E275" s="2060">
        <v>1146483.99</v>
      </c>
      <c r="F275" s="2059">
        <v>200000</v>
      </c>
      <c r="G275" s="2057">
        <v>200000</v>
      </c>
      <c r="H275" s="2058">
        <v>200000</v>
      </c>
      <c r="I275" s="2060">
        <v>200000</v>
      </c>
      <c r="J275" s="2059">
        <v>0</v>
      </c>
      <c r="K275" s="2057">
        <v>1750000</v>
      </c>
      <c r="L275" s="2058">
        <v>0</v>
      </c>
    </row>
    <row r="276" spans="1:12" hidden="1" x14ac:dyDescent="0.25">
      <c r="A276" s="941">
        <v>0</v>
      </c>
      <c r="B276" s="279"/>
      <c r="C276" s="2057"/>
      <c r="D276" s="2057"/>
      <c r="E276" s="2060"/>
      <c r="F276" s="2059"/>
      <c r="G276" s="2057"/>
      <c r="H276" s="2058"/>
      <c r="I276" s="2060"/>
      <c r="J276" s="2059"/>
      <c r="K276" s="2057"/>
      <c r="L276" s="2058"/>
    </row>
    <row r="277" spans="1:12" hidden="1" x14ac:dyDescent="0.25">
      <c r="A277" s="941">
        <v>0</v>
      </c>
      <c r="B277" s="279"/>
      <c r="C277" s="2057"/>
      <c r="D277" s="2057"/>
      <c r="E277" s="2060"/>
      <c r="F277" s="2059"/>
      <c r="G277" s="2057"/>
      <c r="H277" s="2058"/>
      <c r="I277" s="2060"/>
      <c r="J277" s="2059"/>
      <c r="K277" s="2057"/>
      <c r="L277" s="2058"/>
    </row>
    <row r="278" spans="1:12" hidden="1" x14ac:dyDescent="0.25">
      <c r="A278" s="941">
        <v>0</v>
      </c>
      <c r="B278" s="279"/>
      <c r="C278" s="2057"/>
      <c r="D278" s="2057"/>
      <c r="E278" s="2060"/>
      <c r="F278" s="2059"/>
      <c r="G278" s="2057"/>
      <c r="H278" s="2058"/>
      <c r="I278" s="2060"/>
      <c r="J278" s="2059"/>
      <c r="K278" s="2057"/>
      <c r="L278" s="2058"/>
    </row>
    <row r="279" spans="1:12" hidden="1" x14ac:dyDescent="0.25">
      <c r="A279" s="941">
        <v>0</v>
      </c>
      <c r="B279" s="279"/>
      <c r="C279" s="2057"/>
      <c r="D279" s="2057"/>
      <c r="E279" s="2060"/>
      <c r="F279" s="2059"/>
      <c r="G279" s="2057"/>
      <c r="H279" s="2058"/>
      <c r="I279" s="2060"/>
      <c r="J279" s="2059"/>
      <c r="K279" s="2057"/>
      <c r="L279" s="2058"/>
    </row>
    <row r="280" spans="1:12" hidden="1" x14ac:dyDescent="0.25">
      <c r="A280" s="941">
        <v>0</v>
      </c>
      <c r="B280" s="279"/>
      <c r="C280" s="2057"/>
      <c r="D280" s="2057"/>
      <c r="E280" s="2060"/>
      <c r="F280" s="2059"/>
      <c r="G280" s="2057"/>
      <c r="H280" s="2058"/>
      <c r="I280" s="2060"/>
      <c r="J280" s="2059"/>
      <c r="K280" s="2057"/>
      <c r="L280" s="2058"/>
    </row>
    <row r="281" spans="1:12" hidden="1" x14ac:dyDescent="0.25">
      <c r="A281" s="941">
        <v>0</v>
      </c>
      <c r="B281" s="279"/>
      <c r="C281" s="2057"/>
      <c r="D281" s="2057"/>
      <c r="E281" s="2060"/>
      <c r="F281" s="2059"/>
      <c r="G281" s="2057"/>
      <c r="H281" s="2058"/>
      <c r="I281" s="2060"/>
      <c r="J281" s="2059"/>
      <c r="K281" s="2057"/>
      <c r="L281" s="2058"/>
    </row>
    <row r="282" spans="1:12" hidden="1" x14ac:dyDescent="0.25">
      <c r="A282" s="941">
        <v>0</v>
      </c>
      <c r="B282" s="279"/>
      <c r="C282" s="2057"/>
      <c r="D282" s="2057"/>
      <c r="E282" s="2060"/>
      <c r="F282" s="2059"/>
      <c r="G282" s="2057"/>
      <c r="H282" s="2058"/>
      <c r="I282" s="2060"/>
      <c r="J282" s="2059"/>
      <c r="K282" s="2057"/>
      <c r="L282" s="2058"/>
    </row>
    <row r="283" spans="1:12" hidden="1" x14ac:dyDescent="0.25">
      <c r="A283" s="941">
        <v>0</v>
      </c>
      <c r="B283" s="279"/>
      <c r="C283" s="2057"/>
      <c r="D283" s="2057"/>
      <c r="E283" s="2060"/>
      <c r="F283" s="2059"/>
      <c r="G283" s="2057"/>
      <c r="H283" s="2058"/>
      <c r="I283" s="2060"/>
      <c r="J283" s="2059"/>
      <c r="K283" s="2057"/>
      <c r="L283" s="2058"/>
    </row>
    <row r="284" spans="1:12" hidden="1" x14ac:dyDescent="0.25">
      <c r="A284" s="941">
        <v>0</v>
      </c>
      <c r="B284" s="279"/>
      <c r="C284" s="2057"/>
      <c r="D284" s="2057"/>
      <c r="E284" s="2060"/>
      <c r="F284" s="2059"/>
      <c r="G284" s="2057"/>
      <c r="H284" s="2058"/>
      <c r="I284" s="2060"/>
      <c r="J284" s="2059"/>
      <c r="K284" s="2057"/>
      <c r="L284" s="2058"/>
    </row>
    <row r="285" spans="1:12" ht="15" hidden="1" customHeight="1" x14ac:dyDescent="0.25">
      <c r="A285" s="941" t="s">
        <v>2492</v>
      </c>
      <c r="B285" s="279"/>
      <c r="C285" s="755">
        <v>0</v>
      </c>
      <c r="D285" s="755">
        <v>0</v>
      </c>
      <c r="E285" s="758">
        <v>0</v>
      </c>
      <c r="F285" s="757">
        <v>0</v>
      </c>
      <c r="G285" s="755">
        <v>0</v>
      </c>
      <c r="H285" s="758">
        <v>0</v>
      </c>
      <c r="I285" s="756">
        <v>0</v>
      </c>
      <c r="J285" s="757">
        <v>0</v>
      </c>
      <c r="K285" s="755">
        <v>0</v>
      </c>
      <c r="L285" s="758">
        <v>0</v>
      </c>
    </row>
    <row r="286" spans="1:12" hidden="1" x14ac:dyDescent="0.25">
      <c r="A286" s="941" t="s">
        <v>2035</v>
      </c>
      <c r="B286" s="279"/>
      <c r="C286" s="2057"/>
      <c r="D286" s="2057"/>
      <c r="E286" s="2060"/>
      <c r="F286" s="2059"/>
      <c r="G286" s="2057"/>
      <c r="H286" s="2058"/>
      <c r="I286" s="2060"/>
      <c r="J286" s="2059"/>
      <c r="K286" s="2057"/>
      <c r="L286" s="2058"/>
    </row>
    <row r="287" spans="1:12" hidden="1" x14ac:dyDescent="0.25">
      <c r="A287" s="941">
        <v>0</v>
      </c>
      <c r="B287" s="279"/>
      <c r="C287" s="2057"/>
      <c r="D287" s="2057"/>
      <c r="E287" s="2060"/>
      <c r="F287" s="2059"/>
      <c r="G287" s="2057"/>
      <c r="H287" s="2058"/>
      <c r="I287" s="2060"/>
      <c r="J287" s="2059"/>
      <c r="K287" s="2057"/>
      <c r="L287" s="2058"/>
    </row>
    <row r="288" spans="1:12" hidden="1" x14ac:dyDescent="0.25">
      <c r="A288" s="941">
        <v>0</v>
      </c>
      <c r="B288" s="279"/>
      <c r="C288" s="2057"/>
      <c r="D288" s="2057"/>
      <c r="E288" s="2060"/>
      <c r="F288" s="2059"/>
      <c r="G288" s="2057"/>
      <c r="H288" s="2058"/>
      <c r="I288" s="2060"/>
      <c r="J288" s="2059"/>
      <c r="K288" s="2057"/>
      <c r="L288" s="2058"/>
    </row>
    <row r="289" spans="1:12" hidden="1" x14ac:dyDescent="0.25">
      <c r="A289" s="941">
        <v>0</v>
      </c>
      <c r="B289" s="279"/>
      <c r="C289" s="2057"/>
      <c r="D289" s="2057"/>
      <c r="E289" s="2060"/>
      <c r="F289" s="2059"/>
      <c r="G289" s="2057"/>
      <c r="H289" s="2058"/>
      <c r="I289" s="2060"/>
      <c r="J289" s="2059"/>
      <c r="K289" s="2057"/>
      <c r="L289" s="2058"/>
    </row>
    <row r="290" spans="1:12" hidden="1" x14ac:dyDescent="0.25">
      <c r="A290" s="941">
        <v>0</v>
      </c>
      <c r="B290" s="279"/>
      <c r="C290" s="2057"/>
      <c r="D290" s="2057"/>
      <c r="E290" s="2060"/>
      <c r="F290" s="2059"/>
      <c r="G290" s="2057"/>
      <c r="H290" s="2058"/>
      <c r="I290" s="2060"/>
      <c r="J290" s="2059"/>
      <c r="K290" s="2057"/>
      <c r="L290" s="2058"/>
    </row>
    <row r="291" spans="1:12" hidden="1" x14ac:dyDescent="0.25">
      <c r="A291" s="941">
        <v>0</v>
      </c>
      <c r="B291" s="279"/>
      <c r="C291" s="2057"/>
      <c r="D291" s="2057"/>
      <c r="E291" s="2060"/>
      <c r="F291" s="2059"/>
      <c r="G291" s="2057"/>
      <c r="H291" s="2058"/>
      <c r="I291" s="2060"/>
      <c r="J291" s="2059"/>
      <c r="K291" s="2057"/>
      <c r="L291" s="2058"/>
    </row>
    <row r="292" spans="1:12" hidden="1" x14ac:dyDescent="0.25">
      <c r="A292" s="941">
        <v>0</v>
      </c>
      <c r="B292" s="279"/>
      <c r="C292" s="2057"/>
      <c r="D292" s="2057"/>
      <c r="E292" s="2060"/>
      <c r="F292" s="2059"/>
      <c r="G292" s="2057"/>
      <c r="H292" s="2058"/>
      <c r="I292" s="2060"/>
      <c r="J292" s="2059"/>
      <c r="K292" s="2057"/>
      <c r="L292" s="2058"/>
    </row>
    <row r="293" spans="1:12" hidden="1" x14ac:dyDescent="0.25">
      <c r="A293" s="941">
        <v>0</v>
      </c>
      <c r="B293" s="279"/>
      <c r="C293" s="2057"/>
      <c r="D293" s="2057"/>
      <c r="E293" s="2060"/>
      <c r="F293" s="2059"/>
      <c r="G293" s="2057"/>
      <c r="H293" s="2058"/>
      <c r="I293" s="2060"/>
      <c r="J293" s="2059"/>
      <c r="K293" s="2057"/>
      <c r="L293" s="2058"/>
    </row>
    <row r="294" spans="1:12" hidden="1" x14ac:dyDescent="0.25">
      <c r="A294" s="941">
        <v>0</v>
      </c>
      <c r="B294" s="279"/>
      <c r="C294" s="2057"/>
      <c r="D294" s="2057"/>
      <c r="E294" s="2060"/>
      <c r="F294" s="2059"/>
      <c r="G294" s="2057"/>
      <c r="H294" s="2058"/>
      <c r="I294" s="2060"/>
      <c r="J294" s="2059"/>
      <c r="K294" s="2057"/>
      <c r="L294" s="2058"/>
    </row>
    <row r="295" spans="1:12" hidden="1" x14ac:dyDescent="0.25">
      <c r="A295" s="941">
        <v>0</v>
      </c>
      <c r="B295" s="279"/>
      <c r="C295" s="2057"/>
      <c r="D295" s="2057"/>
      <c r="E295" s="2060"/>
      <c r="F295" s="2059"/>
      <c r="G295" s="2057"/>
      <c r="H295" s="2058"/>
      <c r="I295" s="2060"/>
      <c r="J295" s="2059"/>
      <c r="K295" s="2057"/>
      <c r="L295" s="2058"/>
    </row>
    <row r="296" spans="1:12" ht="15" hidden="1" customHeight="1" x14ac:dyDescent="0.25">
      <c r="A296" s="941" t="s">
        <v>2493</v>
      </c>
      <c r="B296" s="279"/>
      <c r="C296" s="755">
        <v>0</v>
      </c>
      <c r="D296" s="755">
        <v>0</v>
      </c>
      <c r="E296" s="758">
        <v>0</v>
      </c>
      <c r="F296" s="757">
        <v>0</v>
      </c>
      <c r="G296" s="755">
        <v>0</v>
      </c>
      <c r="H296" s="758">
        <v>0</v>
      </c>
      <c r="I296" s="756">
        <v>0</v>
      </c>
      <c r="J296" s="757">
        <v>0</v>
      </c>
      <c r="K296" s="755">
        <v>0</v>
      </c>
      <c r="L296" s="758">
        <v>0</v>
      </c>
    </row>
    <row r="297" spans="1:12" hidden="1" x14ac:dyDescent="0.25">
      <c r="A297" s="941" t="s">
        <v>2036</v>
      </c>
      <c r="B297" s="279"/>
      <c r="C297" s="2057"/>
      <c r="D297" s="2057"/>
      <c r="E297" s="2060"/>
      <c r="F297" s="2059"/>
      <c r="G297" s="2057"/>
      <c r="H297" s="2058"/>
      <c r="I297" s="2060"/>
      <c r="J297" s="2059"/>
      <c r="K297" s="2057"/>
      <c r="L297" s="2058"/>
    </row>
    <row r="298" spans="1:12" hidden="1" x14ac:dyDescent="0.25">
      <c r="A298" s="941">
        <v>0</v>
      </c>
      <c r="B298" s="279"/>
      <c r="C298" s="2057"/>
      <c r="D298" s="2057"/>
      <c r="E298" s="2060"/>
      <c r="F298" s="2059"/>
      <c r="G298" s="2057"/>
      <c r="H298" s="2058"/>
      <c r="I298" s="2060"/>
      <c r="J298" s="2059"/>
      <c r="K298" s="2057"/>
      <c r="L298" s="2058"/>
    </row>
    <row r="299" spans="1:12" hidden="1" x14ac:dyDescent="0.25">
      <c r="A299" s="941">
        <v>0</v>
      </c>
      <c r="B299" s="279"/>
      <c r="C299" s="2057"/>
      <c r="D299" s="2057"/>
      <c r="E299" s="2060"/>
      <c r="F299" s="2059"/>
      <c r="G299" s="2057"/>
      <c r="H299" s="2058"/>
      <c r="I299" s="2060"/>
      <c r="J299" s="2059"/>
      <c r="K299" s="2057"/>
      <c r="L299" s="2058"/>
    </row>
    <row r="300" spans="1:12" hidden="1" x14ac:dyDescent="0.25">
      <c r="A300" s="941">
        <v>0</v>
      </c>
      <c r="B300" s="279"/>
      <c r="C300" s="2057"/>
      <c r="D300" s="2057"/>
      <c r="E300" s="2060"/>
      <c r="F300" s="2059"/>
      <c r="G300" s="2057"/>
      <c r="H300" s="2058"/>
      <c r="I300" s="2060"/>
      <c r="J300" s="2059"/>
      <c r="K300" s="2057"/>
      <c r="L300" s="2058"/>
    </row>
    <row r="301" spans="1:12" hidden="1" x14ac:dyDescent="0.25">
      <c r="A301" s="941">
        <v>0</v>
      </c>
      <c r="B301" s="279"/>
      <c r="C301" s="2057"/>
      <c r="D301" s="2057"/>
      <c r="E301" s="2060"/>
      <c r="F301" s="2059"/>
      <c r="G301" s="2057"/>
      <c r="H301" s="2058"/>
      <c r="I301" s="2060"/>
      <c r="J301" s="2059"/>
      <c r="K301" s="2057"/>
      <c r="L301" s="2058"/>
    </row>
    <row r="302" spans="1:12" hidden="1" x14ac:dyDescent="0.25">
      <c r="A302" s="941">
        <v>0</v>
      </c>
      <c r="B302" s="279"/>
      <c r="C302" s="2057"/>
      <c r="D302" s="2057"/>
      <c r="E302" s="2060"/>
      <c r="F302" s="2059"/>
      <c r="G302" s="2057"/>
      <c r="H302" s="2058"/>
      <c r="I302" s="2060"/>
      <c r="J302" s="2059"/>
      <c r="K302" s="2057"/>
      <c r="L302" s="2058"/>
    </row>
    <row r="303" spans="1:12" hidden="1" x14ac:dyDescent="0.25">
      <c r="A303" s="941">
        <v>0</v>
      </c>
      <c r="B303" s="279"/>
      <c r="C303" s="2057"/>
      <c r="D303" s="2057"/>
      <c r="E303" s="2060"/>
      <c r="F303" s="2059"/>
      <c r="G303" s="2057"/>
      <c r="H303" s="2058"/>
      <c r="I303" s="2060"/>
      <c r="J303" s="2059"/>
      <c r="K303" s="2057"/>
      <c r="L303" s="2058"/>
    </row>
    <row r="304" spans="1:12" hidden="1" x14ac:dyDescent="0.25">
      <c r="A304" s="941">
        <v>0</v>
      </c>
      <c r="B304" s="279"/>
      <c r="C304" s="2057"/>
      <c r="D304" s="2057"/>
      <c r="E304" s="2060"/>
      <c r="F304" s="2059"/>
      <c r="G304" s="2057"/>
      <c r="H304" s="2058"/>
      <c r="I304" s="2060"/>
      <c r="J304" s="2059"/>
      <c r="K304" s="2057"/>
      <c r="L304" s="2058"/>
    </row>
    <row r="305" spans="1:12" hidden="1" x14ac:dyDescent="0.25">
      <c r="A305" s="941">
        <v>0</v>
      </c>
      <c r="B305" s="279"/>
      <c r="C305" s="2057"/>
      <c r="D305" s="2057"/>
      <c r="E305" s="2060"/>
      <c r="F305" s="2059"/>
      <c r="G305" s="2057"/>
      <c r="H305" s="2058"/>
      <c r="I305" s="2060"/>
      <c r="J305" s="2059"/>
      <c r="K305" s="2057"/>
      <c r="L305" s="2058"/>
    </row>
    <row r="306" spans="1:12" hidden="1" x14ac:dyDescent="0.25">
      <c r="A306" s="941">
        <v>0</v>
      </c>
      <c r="B306" s="279"/>
      <c r="C306" s="2057"/>
      <c r="D306" s="2057"/>
      <c r="E306" s="2060"/>
      <c r="F306" s="2059"/>
      <c r="G306" s="2057"/>
      <c r="H306" s="2058"/>
      <c r="I306" s="2060"/>
      <c r="J306" s="2059"/>
      <c r="K306" s="2057"/>
      <c r="L306" s="2058"/>
    </row>
    <row r="307" spans="1:12" ht="15" hidden="1" customHeight="1" x14ac:dyDescent="0.25">
      <c r="A307" s="941" t="s">
        <v>2494</v>
      </c>
      <c r="B307" s="279"/>
      <c r="C307" s="755">
        <v>0</v>
      </c>
      <c r="D307" s="755">
        <v>0</v>
      </c>
      <c r="E307" s="758">
        <v>0</v>
      </c>
      <c r="F307" s="757">
        <v>0</v>
      </c>
      <c r="G307" s="755">
        <v>0</v>
      </c>
      <c r="H307" s="758">
        <v>0</v>
      </c>
      <c r="I307" s="756">
        <v>0</v>
      </c>
      <c r="J307" s="757">
        <v>0</v>
      </c>
      <c r="K307" s="755">
        <v>0</v>
      </c>
      <c r="L307" s="758">
        <v>0</v>
      </c>
    </row>
    <row r="308" spans="1:12" hidden="1" x14ac:dyDescent="0.25">
      <c r="A308" s="941" t="s">
        <v>2037</v>
      </c>
      <c r="B308" s="279"/>
      <c r="C308" s="2057"/>
      <c r="D308" s="2057"/>
      <c r="E308" s="2060"/>
      <c r="F308" s="2059"/>
      <c r="G308" s="2057"/>
      <c r="H308" s="2058"/>
      <c r="I308" s="2060"/>
      <c r="J308" s="2059"/>
      <c r="K308" s="2057"/>
      <c r="L308" s="2058"/>
    </row>
    <row r="309" spans="1:12" hidden="1" x14ac:dyDescent="0.25">
      <c r="A309" s="941">
        <v>0</v>
      </c>
      <c r="B309" s="279"/>
      <c r="C309" s="2057"/>
      <c r="D309" s="2057"/>
      <c r="E309" s="2060"/>
      <c r="F309" s="2059"/>
      <c r="G309" s="2057"/>
      <c r="H309" s="2058"/>
      <c r="I309" s="2060"/>
      <c r="J309" s="2059"/>
      <c r="K309" s="2057"/>
      <c r="L309" s="2058"/>
    </row>
    <row r="310" spans="1:12" hidden="1" x14ac:dyDescent="0.25">
      <c r="A310" s="941">
        <v>0</v>
      </c>
      <c r="B310" s="279"/>
      <c r="C310" s="2057"/>
      <c r="D310" s="2057"/>
      <c r="E310" s="2060"/>
      <c r="F310" s="2059"/>
      <c r="G310" s="2057"/>
      <c r="H310" s="2058"/>
      <c r="I310" s="2060"/>
      <c r="J310" s="2059"/>
      <c r="K310" s="2057"/>
      <c r="L310" s="2058"/>
    </row>
    <row r="311" spans="1:12" hidden="1" x14ac:dyDescent="0.25">
      <c r="A311" s="941">
        <v>0</v>
      </c>
      <c r="B311" s="279"/>
      <c r="C311" s="2057"/>
      <c r="D311" s="2057"/>
      <c r="E311" s="2060"/>
      <c r="F311" s="2059"/>
      <c r="G311" s="2057"/>
      <c r="H311" s="2058"/>
      <c r="I311" s="2060"/>
      <c r="J311" s="2059"/>
      <c r="K311" s="2057"/>
      <c r="L311" s="2058"/>
    </row>
    <row r="312" spans="1:12" hidden="1" x14ac:dyDescent="0.25">
      <c r="A312" s="941">
        <v>0</v>
      </c>
      <c r="B312" s="279"/>
      <c r="C312" s="2057"/>
      <c r="D312" s="2057"/>
      <c r="E312" s="2060"/>
      <c r="F312" s="2059"/>
      <c r="G312" s="2057"/>
      <c r="H312" s="2058"/>
      <c r="I312" s="2060"/>
      <c r="J312" s="2059"/>
      <c r="K312" s="2057"/>
      <c r="L312" s="2058"/>
    </row>
    <row r="313" spans="1:12" hidden="1" x14ac:dyDescent="0.25">
      <c r="A313" s="941">
        <v>0</v>
      </c>
      <c r="B313" s="279"/>
      <c r="C313" s="2057"/>
      <c r="D313" s="2057"/>
      <c r="E313" s="2060"/>
      <c r="F313" s="2059"/>
      <c r="G313" s="2057"/>
      <c r="H313" s="2058"/>
      <c r="I313" s="2060"/>
      <c r="J313" s="2059"/>
      <c r="K313" s="2057"/>
      <c r="L313" s="2058"/>
    </row>
    <row r="314" spans="1:12" hidden="1" x14ac:dyDescent="0.25">
      <c r="A314" s="941">
        <v>0</v>
      </c>
      <c r="B314" s="279"/>
      <c r="C314" s="2057"/>
      <c r="D314" s="2057"/>
      <c r="E314" s="2060"/>
      <c r="F314" s="2059"/>
      <c r="G314" s="2057"/>
      <c r="H314" s="2058"/>
      <c r="I314" s="2060"/>
      <c r="J314" s="2059"/>
      <c r="K314" s="2057"/>
      <c r="L314" s="2058"/>
    </row>
    <row r="315" spans="1:12" hidden="1" x14ac:dyDescent="0.25">
      <c r="A315" s="941">
        <v>0</v>
      </c>
      <c r="B315" s="279"/>
      <c r="C315" s="2057"/>
      <c r="D315" s="2057"/>
      <c r="E315" s="2060"/>
      <c r="F315" s="2059"/>
      <c r="G315" s="2057"/>
      <c r="H315" s="2058"/>
      <c r="I315" s="2060"/>
      <c r="J315" s="2059"/>
      <c r="K315" s="2057"/>
      <c r="L315" s="2058"/>
    </row>
    <row r="316" spans="1:12" hidden="1" x14ac:dyDescent="0.25">
      <c r="A316" s="941">
        <v>0</v>
      </c>
      <c r="B316" s="279"/>
      <c r="C316" s="2057"/>
      <c r="D316" s="2057"/>
      <c r="E316" s="2060"/>
      <c r="F316" s="2059"/>
      <c r="G316" s="2057"/>
      <c r="H316" s="2058"/>
      <c r="I316" s="2060"/>
      <c r="J316" s="2059"/>
      <c r="K316" s="2057"/>
      <c r="L316" s="2058"/>
    </row>
    <row r="317" spans="1:12" hidden="1" x14ac:dyDescent="0.25">
      <c r="A317" s="941">
        <v>0</v>
      </c>
      <c r="B317" s="279"/>
      <c r="C317" s="2057"/>
      <c r="D317" s="2057"/>
      <c r="E317" s="2060"/>
      <c r="F317" s="2059"/>
      <c r="G317" s="2057"/>
      <c r="H317" s="2058"/>
      <c r="I317" s="2060"/>
      <c r="J317" s="2059"/>
      <c r="K317" s="2057"/>
      <c r="L317" s="2058"/>
    </row>
    <row r="318" spans="1:12" ht="15" hidden="1" customHeight="1" x14ac:dyDescent="0.25">
      <c r="A318" s="941" t="s">
        <v>2495</v>
      </c>
      <c r="B318" s="279"/>
      <c r="C318" s="755">
        <v>0</v>
      </c>
      <c r="D318" s="755">
        <v>0</v>
      </c>
      <c r="E318" s="758">
        <v>0</v>
      </c>
      <c r="F318" s="757">
        <v>0</v>
      </c>
      <c r="G318" s="755">
        <v>0</v>
      </c>
      <c r="H318" s="758">
        <v>0</v>
      </c>
      <c r="I318" s="756">
        <v>0</v>
      </c>
      <c r="J318" s="757">
        <v>0</v>
      </c>
      <c r="K318" s="755">
        <v>0</v>
      </c>
      <c r="L318" s="758">
        <v>0</v>
      </c>
    </row>
    <row r="319" spans="1:12" hidden="1" x14ac:dyDescent="0.25">
      <c r="A319" s="941" t="s">
        <v>2038</v>
      </c>
      <c r="B319" s="279"/>
      <c r="C319" s="2057"/>
      <c r="D319" s="2057"/>
      <c r="E319" s="2060"/>
      <c r="F319" s="2059"/>
      <c r="G319" s="2057"/>
      <c r="H319" s="2058"/>
      <c r="I319" s="2060"/>
      <c r="J319" s="2059"/>
      <c r="K319" s="2057"/>
      <c r="L319" s="2058"/>
    </row>
    <row r="320" spans="1:12" hidden="1" x14ac:dyDescent="0.25">
      <c r="A320" s="941">
        <v>0</v>
      </c>
      <c r="B320" s="279"/>
      <c r="C320" s="2057"/>
      <c r="D320" s="2057"/>
      <c r="E320" s="2060"/>
      <c r="F320" s="2059"/>
      <c r="G320" s="2057"/>
      <c r="H320" s="2058"/>
      <c r="I320" s="2060"/>
      <c r="J320" s="2059"/>
      <c r="K320" s="2057"/>
      <c r="L320" s="2058"/>
    </row>
    <row r="321" spans="1:12" hidden="1" x14ac:dyDescent="0.25">
      <c r="A321" s="941">
        <v>0</v>
      </c>
      <c r="B321" s="279"/>
      <c r="C321" s="2057"/>
      <c r="D321" s="2057"/>
      <c r="E321" s="2060"/>
      <c r="F321" s="2059"/>
      <c r="G321" s="2057"/>
      <c r="H321" s="2058"/>
      <c r="I321" s="2060"/>
      <c r="J321" s="2059"/>
      <c r="K321" s="2057"/>
      <c r="L321" s="2058"/>
    </row>
    <row r="322" spans="1:12" hidden="1" x14ac:dyDescent="0.25">
      <c r="A322" s="941">
        <v>0</v>
      </c>
      <c r="B322" s="279"/>
      <c r="C322" s="2057"/>
      <c r="D322" s="2057"/>
      <c r="E322" s="2060"/>
      <c r="F322" s="2059"/>
      <c r="G322" s="2057"/>
      <c r="H322" s="2058"/>
      <c r="I322" s="2060"/>
      <c r="J322" s="2059"/>
      <c r="K322" s="2057"/>
      <c r="L322" s="2058"/>
    </row>
    <row r="323" spans="1:12" hidden="1" x14ac:dyDescent="0.25">
      <c r="A323" s="941">
        <v>0</v>
      </c>
      <c r="B323" s="279"/>
      <c r="C323" s="2057"/>
      <c r="D323" s="2057"/>
      <c r="E323" s="2060"/>
      <c r="F323" s="2059"/>
      <c r="G323" s="2057"/>
      <c r="H323" s="2058"/>
      <c r="I323" s="2060"/>
      <c r="J323" s="2059"/>
      <c r="K323" s="2057"/>
      <c r="L323" s="2058"/>
    </row>
    <row r="324" spans="1:12" hidden="1" x14ac:dyDescent="0.25">
      <c r="A324" s="941">
        <v>0</v>
      </c>
      <c r="B324" s="279"/>
      <c r="C324" s="2057"/>
      <c r="D324" s="2057"/>
      <c r="E324" s="2060"/>
      <c r="F324" s="2059"/>
      <c r="G324" s="2057"/>
      <c r="H324" s="2058"/>
      <c r="I324" s="2060"/>
      <c r="J324" s="2059"/>
      <c r="K324" s="2057"/>
      <c r="L324" s="2058"/>
    </row>
    <row r="325" spans="1:12" hidden="1" x14ac:dyDescent="0.25">
      <c r="A325" s="941">
        <v>0</v>
      </c>
      <c r="B325" s="279"/>
      <c r="C325" s="2057"/>
      <c r="D325" s="2057"/>
      <c r="E325" s="2060"/>
      <c r="F325" s="2059"/>
      <c r="G325" s="2057"/>
      <c r="H325" s="2058"/>
      <c r="I325" s="2060"/>
      <c r="J325" s="2059"/>
      <c r="K325" s="2057"/>
      <c r="L325" s="2058"/>
    </row>
    <row r="326" spans="1:12" hidden="1" x14ac:dyDescent="0.25">
      <c r="A326" s="941">
        <v>0</v>
      </c>
      <c r="B326" s="279"/>
      <c r="C326" s="2057"/>
      <c r="D326" s="2057"/>
      <c r="E326" s="2060"/>
      <c r="F326" s="2059"/>
      <c r="G326" s="2057"/>
      <c r="H326" s="2058"/>
      <c r="I326" s="2060"/>
      <c r="J326" s="2059"/>
      <c r="K326" s="2057"/>
      <c r="L326" s="2058"/>
    </row>
    <row r="327" spans="1:12" hidden="1" x14ac:dyDescent="0.25">
      <c r="A327" s="941">
        <v>0</v>
      </c>
      <c r="B327" s="279"/>
      <c r="C327" s="2057"/>
      <c r="D327" s="2057"/>
      <c r="E327" s="2060"/>
      <c r="F327" s="2059"/>
      <c r="G327" s="2057"/>
      <c r="H327" s="2058"/>
      <c r="I327" s="2060"/>
      <c r="J327" s="2059"/>
      <c r="K327" s="2057"/>
      <c r="L327" s="2058"/>
    </row>
    <row r="328" spans="1:12" hidden="1" x14ac:dyDescent="0.25">
      <c r="A328" s="941">
        <v>0</v>
      </c>
      <c r="B328" s="279"/>
      <c r="C328" s="2057"/>
      <c r="D328" s="2057"/>
      <c r="E328" s="2060"/>
      <c r="F328" s="2059"/>
      <c r="G328" s="2057"/>
      <c r="H328" s="2058"/>
      <c r="I328" s="2060"/>
      <c r="J328" s="2059"/>
      <c r="K328" s="2057"/>
      <c r="L328" s="2058"/>
    </row>
    <row r="329" spans="1:12" ht="15" hidden="1" customHeight="1" x14ac:dyDescent="0.25">
      <c r="A329" s="941" t="s">
        <v>2496</v>
      </c>
      <c r="B329" s="279"/>
      <c r="C329" s="755">
        <v>0</v>
      </c>
      <c r="D329" s="755">
        <v>0</v>
      </c>
      <c r="E329" s="758">
        <v>0</v>
      </c>
      <c r="F329" s="757">
        <v>0</v>
      </c>
      <c r="G329" s="755">
        <v>0</v>
      </c>
      <c r="H329" s="758">
        <v>0</v>
      </c>
      <c r="I329" s="756">
        <v>0</v>
      </c>
      <c r="J329" s="757">
        <v>0</v>
      </c>
      <c r="K329" s="755">
        <v>0</v>
      </c>
      <c r="L329" s="758">
        <v>0</v>
      </c>
    </row>
    <row r="330" spans="1:12" hidden="1" x14ac:dyDescent="0.25">
      <c r="A330" s="941" t="s">
        <v>2039</v>
      </c>
      <c r="B330" s="279"/>
      <c r="C330" s="2057"/>
      <c r="D330" s="2057"/>
      <c r="E330" s="2060"/>
      <c r="F330" s="2059"/>
      <c r="G330" s="2057"/>
      <c r="H330" s="2058"/>
      <c r="I330" s="2060"/>
      <c r="J330" s="2059"/>
      <c r="K330" s="2057"/>
      <c r="L330" s="2058"/>
    </row>
    <row r="331" spans="1:12" hidden="1" x14ac:dyDescent="0.25">
      <c r="A331" s="941">
        <v>0</v>
      </c>
      <c r="B331" s="279"/>
      <c r="C331" s="2057"/>
      <c r="D331" s="2057"/>
      <c r="E331" s="2060"/>
      <c r="F331" s="2059"/>
      <c r="G331" s="2057"/>
      <c r="H331" s="2058"/>
      <c r="I331" s="2060"/>
      <c r="J331" s="2059"/>
      <c r="K331" s="2057"/>
      <c r="L331" s="2058"/>
    </row>
    <row r="332" spans="1:12" hidden="1" x14ac:dyDescent="0.25">
      <c r="A332" s="941">
        <v>0</v>
      </c>
      <c r="B332" s="279"/>
      <c r="C332" s="2057"/>
      <c r="D332" s="2057"/>
      <c r="E332" s="2060"/>
      <c r="F332" s="2059"/>
      <c r="G332" s="2057"/>
      <c r="H332" s="2058"/>
      <c r="I332" s="2060"/>
      <c r="J332" s="2059"/>
      <c r="K332" s="2057"/>
      <c r="L332" s="2058"/>
    </row>
    <row r="333" spans="1:12" hidden="1" x14ac:dyDescent="0.25">
      <c r="A333" s="941">
        <v>0</v>
      </c>
      <c r="B333" s="279"/>
      <c r="C333" s="2057"/>
      <c r="D333" s="2057"/>
      <c r="E333" s="2060"/>
      <c r="F333" s="2059"/>
      <c r="G333" s="2057"/>
      <c r="H333" s="2058"/>
      <c r="I333" s="2060"/>
      <c r="J333" s="2059"/>
      <c r="K333" s="2057"/>
      <c r="L333" s="2058"/>
    </row>
    <row r="334" spans="1:12" hidden="1" x14ac:dyDescent="0.25">
      <c r="A334" s="941">
        <v>0</v>
      </c>
      <c r="B334" s="279"/>
      <c r="C334" s="2057"/>
      <c r="D334" s="2057"/>
      <c r="E334" s="2060"/>
      <c r="F334" s="2059"/>
      <c r="G334" s="2057"/>
      <c r="H334" s="2058"/>
      <c r="I334" s="2060"/>
      <c r="J334" s="2059"/>
      <c r="K334" s="2057"/>
      <c r="L334" s="2058"/>
    </row>
    <row r="335" spans="1:12" hidden="1" x14ac:dyDescent="0.25">
      <c r="A335" s="941">
        <v>0</v>
      </c>
      <c r="B335" s="279"/>
      <c r="C335" s="2057"/>
      <c r="D335" s="2057"/>
      <c r="E335" s="2060"/>
      <c r="F335" s="2059"/>
      <c r="G335" s="2057"/>
      <c r="H335" s="2058"/>
      <c r="I335" s="2060"/>
      <c r="J335" s="2059"/>
      <c r="K335" s="2057"/>
      <c r="L335" s="2058"/>
    </row>
    <row r="336" spans="1:12" hidden="1" x14ac:dyDescent="0.25">
      <c r="A336" s="941">
        <v>0</v>
      </c>
      <c r="B336" s="279"/>
      <c r="C336" s="2057"/>
      <c r="D336" s="2057"/>
      <c r="E336" s="2060"/>
      <c r="F336" s="2059"/>
      <c r="G336" s="2057"/>
      <c r="H336" s="2058"/>
      <c r="I336" s="2060"/>
      <c r="J336" s="2059"/>
      <c r="K336" s="2057"/>
      <c r="L336" s="2058"/>
    </row>
    <row r="337" spans="1:12" hidden="1" x14ac:dyDescent="0.25">
      <c r="A337" s="941">
        <v>0</v>
      </c>
      <c r="B337" s="279"/>
      <c r="C337" s="2057"/>
      <c r="D337" s="2057"/>
      <c r="E337" s="2060"/>
      <c r="F337" s="2059"/>
      <c r="G337" s="2057"/>
      <c r="H337" s="2058"/>
      <c r="I337" s="2060"/>
      <c r="J337" s="2059"/>
      <c r="K337" s="2057"/>
      <c r="L337" s="2058"/>
    </row>
    <row r="338" spans="1:12" hidden="1" x14ac:dyDescent="0.25">
      <c r="A338" s="941">
        <v>0</v>
      </c>
      <c r="B338" s="279"/>
      <c r="C338" s="2057"/>
      <c r="D338" s="2057"/>
      <c r="E338" s="2060"/>
      <c r="F338" s="2059"/>
      <c r="G338" s="2057"/>
      <c r="H338" s="2058"/>
      <c r="I338" s="2060"/>
      <c r="J338" s="2059"/>
      <c r="K338" s="2057"/>
      <c r="L338" s="2058"/>
    </row>
    <row r="339" spans="1:12" hidden="1" x14ac:dyDescent="0.25">
      <c r="A339" s="941">
        <v>0</v>
      </c>
      <c r="B339" s="279"/>
      <c r="C339" s="2057"/>
      <c r="D339" s="2057"/>
      <c r="E339" s="2060"/>
      <c r="F339" s="2059"/>
      <c r="G339" s="2057"/>
      <c r="H339" s="2058"/>
      <c r="I339" s="2060"/>
      <c r="J339" s="2059"/>
      <c r="K339" s="2057"/>
      <c r="L339" s="2058"/>
    </row>
    <row r="340" spans="1:12" x14ac:dyDescent="0.25">
      <c r="A340" s="303" t="s">
        <v>1334</v>
      </c>
      <c r="B340" s="279"/>
      <c r="C340" s="1085">
        <v>16811861</v>
      </c>
      <c r="D340" s="1085">
        <v>15704226.650000002</v>
      </c>
      <c r="E340" s="2146">
        <v>6146772.8300000001</v>
      </c>
      <c r="F340" s="2141">
        <v>9488000</v>
      </c>
      <c r="G340" s="1085">
        <v>9780000</v>
      </c>
      <c r="H340" s="2146">
        <v>9780000</v>
      </c>
      <c r="I340" s="2147">
        <v>9780000</v>
      </c>
      <c r="J340" s="2141">
        <v>12965000</v>
      </c>
      <c r="K340" s="1085">
        <v>14492300</v>
      </c>
      <c r="L340" s="1085">
        <v>14477838</v>
      </c>
    </row>
    <row r="341" spans="1:12" x14ac:dyDescent="0.25">
      <c r="A341" s="1259" t="s">
        <v>603</v>
      </c>
      <c r="B341" s="1019"/>
      <c r="C341" s="2148">
        <v>16811861</v>
      </c>
      <c r="D341" s="2148">
        <v>15704226.650000002</v>
      </c>
      <c r="E341" s="2149">
        <v>6146772.8300000001</v>
      </c>
      <c r="F341" s="2150">
        <v>9488000</v>
      </c>
      <c r="G341" s="2151">
        <v>9780000</v>
      </c>
      <c r="H341" s="2152">
        <v>9780000</v>
      </c>
      <c r="I341" s="2149">
        <v>9780000</v>
      </c>
      <c r="J341" s="2150">
        <v>12965000</v>
      </c>
      <c r="K341" s="2151">
        <v>14492300</v>
      </c>
      <c r="L341" s="2152">
        <v>14477838</v>
      </c>
    </row>
    <row r="343" spans="1:12" x14ac:dyDescent="0.25">
      <c r="C343" s="1916">
        <v>-1</v>
      </c>
      <c r="D343" s="1916">
        <v>-0.34999999776482582</v>
      </c>
      <c r="E343" s="1916">
        <v>-0.16999999992549419</v>
      </c>
    </row>
    <row r="345" spans="1:12" x14ac:dyDescent="0.25">
      <c r="D345" s="338" t="s">
        <v>979</v>
      </c>
      <c r="F345" s="338">
        <v>9488000</v>
      </c>
      <c r="G345" s="338">
        <v>9488000</v>
      </c>
      <c r="H345" s="338">
        <v>9488000</v>
      </c>
      <c r="I345" s="338">
        <v>9488000</v>
      </c>
      <c r="J345" s="338">
        <v>13498700</v>
      </c>
      <c r="K345" s="338">
        <v>12950000</v>
      </c>
      <c r="L345" s="338">
        <v>0</v>
      </c>
    </row>
    <row r="346" spans="1:12" x14ac:dyDescent="0.25">
      <c r="D346" s="338" t="s">
        <v>2404</v>
      </c>
      <c r="F346" s="1916">
        <v>0</v>
      </c>
      <c r="G346" s="1916">
        <v>292000</v>
      </c>
      <c r="H346" s="1916">
        <v>292000</v>
      </c>
      <c r="I346" s="1916">
        <v>292000</v>
      </c>
      <c r="J346" s="1916">
        <v>-533700</v>
      </c>
      <c r="K346" s="1916">
        <v>1542300</v>
      </c>
      <c r="L346" s="1916">
        <v>14477838</v>
      </c>
    </row>
    <row r="348" spans="1:12" x14ac:dyDescent="0.25">
      <c r="J348" s="338">
        <v>-3113700</v>
      </c>
      <c r="K348" s="338">
        <v>-3113699.9999999702</v>
      </c>
      <c r="L348" s="338">
        <v>-3113700</v>
      </c>
    </row>
  </sheetData>
  <dataConsolidate/>
  <mergeCells count="5">
    <mergeCell ref="F2:I2"/>
    <mergeCell ref="J2:L2"/>
    <mergeCell ref="N2:Q2"/>
    <mergeCell ref="R2:U2"/>
    <mergeCell ref="V2:X2"/>
  </mergeCells>
  <phoneticPr fontId="4" type="noConversion"/>
  <pageMargins left="0.75" right="0.75" top="1" bottom="1" header="0.5" footer="0.5"/>
  <pageSetup scale="72"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indexed="44"/>
    <pageSetUpPr fitToPage="1"/>
  </sheetPr>
  <dimension ref="A1:O90"/>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
        <v>2499</v>
      </c>
      <c r="B1" s="146"/>
      <c r="C1" s="1997"/>
      <c r="D1" s="1997"/>
      <c r="E1" s="1997"/>
      <c r="F1" s="1997"/>
      <c r="G1" s="1997"/>
      <c r="H1" s="1997"/>
      <c r="I1" s="1997"/>
      <c r="J1" s="1997"/>
      <c r="K1" s="1997"/>
      <c r="L1" s="1997"/>
    </row>
    <row r="2" spans="1:12" ht="28.5" customHeight="1" x14ac:dyDescent="0.25">
      <c r="A2" s="784" t="s">
        <v>775</v>
      </c>
      <c r="B2" s="379" t="s">
        <v>429</v>
      </c>
      <c r="C2" s="149" t="s">
        <v>2478</v>
      </c>
      <c r="D2" s="149" t="s">
        <v>2479</v>
      </c>
      <c r="E2" s="1996" t="s">
        <v>2480</v>
      </c>
      <c r="F2" s="2700" t="s">
        <v>2481</v>
      </c>
      <c r="G2" s="2701"/>
      <c r="H2" s="2701"/>
      <c r="I2" s="2701"/>
      <c r="J2" s="2697" t="s">
        <v>2482</v>
      </c>
      <c r="K2" s="2698"/>
      <c r="L2" s="2699"/>
    </row>
    <row r="3" spans="1:12" ht="25.5" x14ac:dyDescent="0.25">
      <c r="A3" s="179" t="s">
        <v>667</v>
      </c>
      <c r="B3" s="791"/>
      <c r="C3" s="2009" t="s">
        <v>1065</v>
      </c>
      <c r="D3" s="2009" t="s">
        <v>1065</v>
      </c>
      <c r="E3" s="354" t="s">
        <v>1065</v>
      </c>
      <c r="F3" s="2004" t="s">
        <v>467</v>
      </c>
      <c r="G3" s="2009" t="s">
        <v>1807</v>
      </c>
      <c r="H3" s="354" t="s">
        <v>1808</v>
      </c>
      <c r="I3" s="2018" t="s">
        <v>672</v>
      </c>
      <c r="J3" s="2004" t="s">
        <v>2483</v>
      </c>
      <c r="K3" s="2009" t="s">
        <v>2484</v>
      </c>
      <c r="L3" s="354" t="s">
        <v>2485</v>
      </c>
    </row>
    <row r="4" spans="1:12" ht="11.25" customHeight="1" x14ac:dyDescent="0.25">
      <c r="A4" s="303" t="s">
        <v>1023</v>
      </c>
      <c r="B4" s="278"/>
      <c r="C4" s="749"/>
      <c r="D4" s="749"/>
      <c r="E4" s="774"/>
      <c r="F4" s="773"/>
      <c r="G4" s="749"/>
      <c r="H4" s="774"/>
      <c r="I4" s="750"/>
      <c r="J4" s="2127"/>
      <c r="K4" s="749"/>
      <c r="L4" s="774"/>
    </row>
    <row r="5" spans="1:12" ht="11.25" customHeight="1" x14ac:dyDescent="0.25">
      <c r="A5" s="303" t="s">
        <v>1024</v>
      </c>
      <c r="B5" s="279"/>
      <c r="C5" s="205"/>
      <c r="D5" s="205"/>
      <c r="E5" s="256"/>
      <c r="F5" s="246"/>
      <c r="G5" s="205"/>
      <c r="H5" s="256"/>
      <c r="I5" s="208"/>
      <c r="J5" s="209"/>
      <c r="K5" s="205"/>
      <c r="L5" s="256"/>
    </row>
    <row r="6" spans="1:12" ht="11.25" customHeight="1" x14ac:dyDescent="0.25">
      <c r="A6" s="189" t="s">
        <v>702</v>
      </c>
      <c r="B6" s="279"/>
      <c r="C6" s="1030">
        <v>213443.83</v>
      </c>
      <c r="D6" s="1030">
        <v>675935</v>
      </c>
      <c r="E6" s="1065">
        <v>582864</v>
      </c>
      <c r="F6" s="1066">
        <v>629000</v>
      </c>
      <c r="G6" s="1030">
        <v>0</v>
      </c>
      <c r="H6" s="1065">
        <v>-2.514570951461792E-8</v>
      </c>
      <c r="I6" s="1067">
        <v>-2.514570951461792E-8</v>
      </c>
      <c r="J6" s="1031">
        <v>0</v>
      </c>
      <c r="K6" s="1030">
        <v>0</v>
      </c>
      <c r="L6" s="1065">
        <v>-6.0000168159604073E-3</v>
      </c>
    </row>
    <row r="7" spans="1:12" ht="11.25" customHeight="1" x14ac:dyDescent="0.25">
      <c r="A7" s="189" t="s">
        <v>1527</v>
      </c>
      <c r="B7" s="279">
        <v>1</v>
      </c>
      <c r="C7" s="205">
        <v>354737.14999999991</v>
      </c>
      <c r="D7" s="205">
        <v>4219397</v>
      </c>
      <c r="E7" s="256">
        <v>4485612</v>
      </c>
      <c r="F7" s="246">
        <v>9166599.3630000055</v>
      </c>
      <c r="G7" s="205">
        <v>0</v>
      </c>
      <c r="H7" s="256">
        <v>0</v>
      </c>
      <c r="I7" s="208">
        <v>0</v>
      </c>
      <c r="J7" s="209">
        <v>0</v>
      </c>
      <c r="K7" s="205">
        <v>0</v>
      </c>
      <c r="L7" s="256">
        <v>0</v>
      </c>
    </row>
    <row r="8" spans="1:12" ht="11.25" customHeight="1" x14ac:dyDescent="0.25">
      <c r="A8" s="189" t="s">
        <v>1525</v>
      </c>
      <c r="B8" s="279">
        <v>1</v>
      </c>
      <c r="C8" s="205">
        <v>6608977</v>
      </c>
      <c r="D8" s="205">
        <v>2398225</v>
      </c>
      <c r="E8" s="256">
        <v>2178953</v>
      </c>
      <c r="F8" s="246">
        <v>9709753.3399999999</v>
      </c>
      <c r="G8" s="205">
        <v>1337842.2800000012</v>
      </c>
      <c r="H8" s="256">
        <v>1337842.2800000012</v>
      </c>
      <c r="I8" s="208">
        <v>1337842.2800000012</v>
      </c>
      <c r="J8" s="209">
        <v>1360964.4340000004</v>
      </c>
      <c r="K8" s="205">
        <v>1502095.0621600002</v>
      </c>
      <c r="L8" s="256">
        <v>1993044.3333920017</v>
      </c>
    </row>
    <row r="9" spans="1:12" ht="11.25" customHeight="1" x14ac:dyDescent="0.25">
      <c r="A9" s="189" t="s">
        <v>1526</v>
      </c>
      <c r="B9" s="279"/>
      <c r="C9" s="1030">
        <v>6313789</v>
      </c>
      <c r="D9" s="1030">
        <v>3244661</v>
      </c>
      <c r="E9" s="1065">
        <v>305538.07</v>
      </c>
      <c r="F9" s="1066">
        <v>4041082.52</v>
      </c>
      <c r="G9" s="1030">
        <v>611604.06999999983</v>
      </c>
      <c r="H9" s="1065">
        <v>611604.06999999983</v>
      </c>
      <c r="I9" s="1067">
        <v>611604.06999999983</v>
      </c>
      <c r="J9" s="1031">
        <v>611604.06999999983</v>
      </c>
      <c r="K9" s="1030">
        <v>611604.06999999983</v>
      </c>
      <c r="L9" s="1065">
        <v>611604.06999999983</v>
      </c>
    </row>
    <row r="10" spans="1:12" ht="11.25" customHeight="1" x14ac:dyDescent="0.25">
      <c r="A10" s="189" t="s">
        <v>703</v>
      </c>
      <c r="B10" s="279"/>
      <c r="C10" s="1030">
        <v>0</v>
      </c>
      <c r="D10" s="1030">
        <v>0</v>
      </c>
      <c r="E10" s="1065">
        <v>0</v>
      </c>
      <c r="F10" s="2091">
        <v>0</v>
      </c>
      <c r="G10" s="2089">
        <v>0</v>
      </c>
      <c r="H10" s="2090">
        <v>0</v>
      </c>
      <c r="I10" s="1067">
        <v>0</v>
      </c>
      <c r="J10" s="2092">
        <v>0</v>
      </c>
      <c r="K10" s="2089">
        <v>0</v>
      </c>
      <c r="L10" s="2090">
        <v>0</v>
      </c>
    </row>
    <row r="11" spans="1:12" ht="11.25" customHeight="1" x14ac:dyDescent="0.25">
      <c r="A11" s="189" t="s">
        <v>1524</v>
      </c>
      <c r="B11" s="279">
        <v>2</v>
      </c>
      <c r="C11" s="1030">
        <v>433931</v>
      </c>
      <c r="D11" s="1030">
        <v>380198</v>
      </c>
      <c r="E11" s="1065">
        <v>178800</v>
      </c>
      <c r="F11" s="1066">
        <v>112000</v>
      </c>
      <c r="G11" s="1030">
        <v>143040</v>
      </c>
      <c r="H11" s="1065">
        <v>143040</v>
      </c>
      <c r="I11" s="1067">
        <v>143040</v>
      </c>
      <c r="J11" s="1031">
        <v>80000</v>
      </c>
      <c r="K11" s="1030">
        <v>60000</v>
      </c>
      <c r="L11" s="1065">
        <v>40000</v>
      </c>
    </row>
    <row r="12" spans="1:12" ht="11.25" customHeight="1" x14ac:dyDescent="0.25">
      <c r="A12" s="311" t="s">
        <v>578</v>
      </c>
      <c r="B12" s="312"/>
      <c r="C12" s="654">
        <v>12913431.310000001</v>
      </c>
      <c r="D12" s="654">
        <v>11019347.76</v>
      </c>
      <c r="E12" s="655">
        <v>7529528.0700000003</v>
      </c>
      <c r="F12" s="656">
        <v>23658435.223000005</v>
      </c>
      <c r="G12" s="654">
        <v>2092486.3499999759</v>
      </c>
      <c r="H12" s="655">
        <v>2092486.3499999759</v>
      </c>
      <c r="I12" s="657">
        <v>2092486.3499999759</v>
      </c>
      <c r="J12" s="881">
        <v>2052568.5040000002</v>
      </c>
      <c r="K12" s="654">
        <v>2173699.13216</v>
      </c>
      <c r="L12" s="655">
        <v>2644648.3973919847</v>
      </c>
    </row>
    <row r="13" spans="1:12" ht="5.0999999999999996" customHeight="1" x14ac:dyDescent="0.25">
      <c r="A13" s="199"/>
      <c r="B13" s="279"/>
      <c r="C13" s="205"/>
      <c r="D13" s="205"/>
      <c r="E13" s="256"/>
      <c r="F13" s="246"/>
      <c r="G13" s="205"/>
      <c r="H13" s="256"/>
      <c r="I13" s="208"/>
      <c r="J13" s="209"/>
      <c r="K13" s="205"/>
      <c r="L13" s="256"/>
    </row>
    <row r="14" spans="1:12" ht="11.25" customHeight="1" x14ac:dyDescent="0.25">
      <c r="A14" s="303" t="s">
        <v>572</v>
      </c>
      <c r="B14" s="279"/>
      <c r="C14" s="205"/>
      <c r="D14" s="205"/>
      <c r="E14" s="256"/>
      <c r="F14" s="246"/>
      <c r="G14" s="205"/>
      <c r="H14" s="256"/>
      <c r="I14" s="208"/>
      <c r="J14" s="209"/>
      <c r="K14" s="205"/>
      <c r="L14" s="256"/>
    </row>
    <row r="15" spans="1:12" ht="11.25" customHeight="1" x14ac:dyDescent="0.25">
      <c r="A15" s="189" t="s">
        <v>1523</v>
      </c>
      <c r="B15" s="279"/>
      <c r="C15" s="1030">
        <v>281776</v>
      </c>
      <c r="D15" s="1030">
        <v>5607</v>
      </c>
      <c r="E15" s="1065">
        <v>4407</v>
      </c>
      <c r="F15" s="1066">
        <v>260140.96000000002</v>
      </c>
      <c r="G15" s="1030">
        <v>4407</v>
      </c>
      <c r="H15" s="1065">
        <v>4407</v>
      </c>
      <c r="I15" s="1067">
        <v>4407</v>
      </c>
      <c r="J15" s="1031">
        <v>4407</v>
      </c>
      <c r="K15" s="1030">
        <v>4407</v>
      </c>
      <c r="L15" s="1065">
        <v>4407</v>
      </c>
    </row>
    <row r="16" spans="1:12" ht="11.25" customHeight="1" x14ac:dyDescent="0.25">
      <c r="A16" s="189" t="s">
        <v>1025</v>
      </c>
      <c r="B16" s="279"/>
      <c r="C16" s="1030">
        <v>1968253</v>
      </c>
      <c r="D16" s="1030">
        <v>1400772</v>
      </c>
      <c r="E16" s="1065">
        <v>1425170</v>
      </c>
      <c r="F16" s="2091">
        <v>1400772</v>
      </c>
      <c r="G16" s="2089">
        <v>1425170</v>
      </c>
      <c r="H16" s="2090">
        <v>1425170</v>
      </c>
      <c r="I16" s="1067">
        <v>1425170</v>
      </c>
      <c r="J16" s="2092">
        <v>1485000</v>
      </c>
      <c r="K16" s="2089">
        <v>1574000</v>
      </c>
      <c r="L16" s="2090">
        <v>1668000</v>
      </c>
    </row>
    <row r="17" spans="1:13" ht="11.25" customHeight="1" x14ac:dyDescent="0.25">
      <c r="A17" s="189" t="s">
        <v>1522</v>
      </c>
      <c r="B17" s="279"/>
      <c r="C17" s="1030">
        <v>19984100</v>
      </c>
      <c r="D17" s="1030">
        <v>15925407</v>
      </c>
      <c r="E17" s="1065">
        <v>15906693</v>
      </c>
      <c r="F17" s="1066">
        <v>19984100</v>
      </c>
      <c r="G17" s="1030">
        <v>15906693</v>
      </c>
      <c r="H17" s="1065">
        <v>15906693</v>
      </c>
      <c r="I17" s="1067">
        <v>15906693</v>
      </c>
      <c r="J17" s="1031">
        <v>15887979</v>
      </c>
      <c r="K17" s="1030">
        <v>15869265</v>
      </c>
      <c r="L17" s="1065">
        <v>15850551</v>
      </c>
    </row>
    <row r="18" spans="1:13" ht="11.25" customHeight="1" x14ac:dyDescent="0.25">
      <c r="A18" s="189" t="s">
        <v>786</v>
      </c>
      <c r="B18" s="279"/>
      <c r="C18" s="1030">
        <v>0</v>
      </c>
      <c r="D18" s="1030">
        <v>0</v>
      </c>
      <c r="E18" s="1065">
        <v>0</v>
      </c>
      <c r="F18" s="1066">
        <v>0</v>
      </c>
      <c r="G18" s="1030">
        <v>0</v>
      </c>
      <c r="H18" s="1065">
        <v>0</v>
      </c>
      <c r="I18" s="1067">
        <v>0</v>
      </c>
      <c r="J18" s="1031">
        <v>0</v>
      </c>
      <c r="K18" s="1030">
        <v>0</v>
      </c>
      <c r="L18" s="1065">
        <v>0</v>
      </c>
    </row>
    <row r="19" spans="1:13" ht="11.25" customHeight="1" x14ac:dyDescent="0.25">
      <c r="A19" s="189" t="s">
        <v>1521</v>
      </c>
      <c r="B19" s="279">
        <v>3</v>
      </c>
      <c r="C19" s="205">
        <v>84859733</v>
      </c>
      <c r="D19" s="205">
        <v>116657573.67075771</v>
      </c>
      <c r="E19" s="256">
        <v>117503235.0060827</v>
      </c>
      <c r="F19" s="246">
        <v>113803200.72684209</v>
      </c>
      <c r="G19" s="205">
        <v>121925702.0060827</v>
      </c>
      <c r="H19" s="256">
        <v>121925702.0060827</v>
      </c>
      <c r="I19" s="208">
        <v>121925702.0060827</v>
      </c>
      <c r="J19" s="209">
        <v>129194247.46608269</v>
      </c>
      <c r="K19" s="205">
        <v>137646690.81368271</v>
      </c>
      <c r="L19" s="256">
        <v>145729281.92213869</v>
      </c>
    </row>
    <row r="20" spans="1:13" ht="11.25" customHeight="1" x14ac:dyDescent="0.25">
      <c r="A20" s="189" t="s">
        <v>950</v>
      </c>
      <c r="B20" s="279"/>
      <c r="C20" s="1030">
        <v>0</v>
      </c>
      <c r="D20" s="1030">
        <v>0</v>
      </c>
      <c r="E20" s="1065">
        <v>0</v>
      </c>
      <c r="F20" s="1066">
        <v>0</v>
      </c>
      <c r="G20" s="1030">
        <v>0</v>
      </c>
      <c r="H20" s="1065">
        <v>0</v>
      </c>
      <c r="I20" s="1067">
        <v>0</v>
      </c>
      <c r="J20" s="1031">
        <v>0</v>
      </c>
      <c r="K20" s="1030">
        <v>0</v>
      </c>
      <c r="L20" s="1065">
        <v>0</v>
      </c>
    </row>
    <row r="21" spans="1:13" ht="11.25" customHeight="1" x14ac:dyDescent="0.25">
      <c r="A21" s="189" t="s">
        <v>951</v>
      </c>
      <c r="B21" s="279"/>
      <c r="C21" s="1030">
        <v>103000</v>
      </c>
      <c r="D21" s="1030">
        <v>65500</v>
      </c>
      <c r="E21" s="1065">
        <v>87300</v>
      </c>
      <c r="F21" s="1066">
        <v>0</v>
      </c>
      <c r="G21" s="1030">
        <v>87300</v>
      </c>
      <c r="H21" s="1065">
        <v>87300</v>
      </c>
      <c r="I21" s="1067">
        <v>87300</v>
      </c>
      <c r="J21" s="1031">
        <v>87300</v>
      </c>
      <c r="K21" s="1030">
        <v>87300</v>
      </c>
      <c r="L21" s="1065">
        <v>87300</v>
      </c>
    </row>
    <row r="22" spans="1:13" ht="11.25" customHeight="1" x14ac:dyDescent="0.25">
      <c r="A22" s="189" t="s">
        <v>952</v>
      </c>
      <c r="B22" s="279"/>
      <c r="C22" s="1030">
        <v>0</v>
      </c>
      <c r="D22" s="1030">
        <v>43882</v>
      </c>
      <c r="E22" s="1065">
        <v>35016</v>
      </c>
      <c r="F22" s="1066">
        <v>0</v>
      </c>
      <c r="G22" s="1030">
        <v>35016</v>
      </c>
      <c r="H22" s="1065">
        <v>35016</v>
      </c>
      <c r="I22" s="1067">
        <v>35016</v>
      </c>
      <c r="J22" s="1031">
        <v>26216</v>
      </c>
      <c r="K22" s="1030">
        <v>17416</v>
      </c>
      <c r="L22" s="1065">
        <v>0</v>
      </c>
    </row>
    <row r="23" spans="1:13" ht="11.25" customHeight="1" x14ac:dyDescent="0.25">
      <c r="A23" s="189" t="s">
        <v>1703</v>
      </c>
      <c r="B23" s="279"/>
      <c r="C23" s="1030">
        <v>1676</v>
      </c>
      <c r="D23" s="1030">
        <v>1162</v>
      </c>
      <c r="E23" s="1065">
        <v>404</v>
      </c>
      <c r="F23" s="2091">
        <v>0</v>
      </c>
      <c r="G23" s="2089">
        <v>404</v>
      </c>
      <c r="H23" s="2090">
        <v>404</v>
      </c>
      <c r="I23" s="1066">
        <v>404</v>
      </c>
      <c r="J23" s="2092">
        <v>404</v>
      </c>
      <c r="K23" s="2089">
        <v>404</v>
      </c>
      <c r="L23" s="2090">
        <v>404</v>
      </c>
    </row>
    <row r="24" spans="1:13" ht="11.25" customHeight="1" x14ac:dyDescent="0.25">
      <c r="A24" s="311" t="s">
        <v>577</v>
      </c>
      <c r="B24" s="1110"/>
      <c r="C24" s="1238">
        <v>124411417.86538538</v>
      </c>
      <c r="D24" s="259">
        <v>134099903.67075771</v>
      </c>
      <c r="E24" s="260">
        <v>134962225.00608271</v>
      </c>
      <c r="F24" s="2153">
        <v>135448213.68684208</v>
      </c>
      <c r="G24" s="259">
        <v>139384692.00608271</v>
      </c>
      <c r="H24" s="260">
        <v>139384692.00608271</v>
      </c>
      <c r="I24" s="258">
        <v>139384692.00608271</v>
      </c>
      <c r="J24" s="262">
        <v>146685553.46608269</v>
      </c>
      <c r="K24" s="259">
        <v>155199482.81368271</v>
      </c>
      <c r="L24" s="260">
        <v>163339943.92213869</v>
      </c>
    </row>
    <row r="25" spans="1:13" ht="11.25" customHeight="1" x14ac:dyDescent="0.25">
      <c r="A25" s="311" t="s">
        <v>581</v>
      </c>
      <c r="B25" s="312"/>
      <c r="C25" s="654">
        <v>137324849.17538539</v>
      </c>
      <c r="D25" s="654">
        <v>145119251.4307577</v>
      </c>
      <c r="E25" s="655">
        <v>142491753.07608271</v>
      </c>
      <c r="F25" s="656">
        <v>159220568.90984207</v>
      </c>
      <c r="G25" s="654">
        <v>141477178.35608268</v>
      </c>
      <c r="H25" s="655">
        <v>141477178.35608268</v>
      </c>
      <c r="I25" s="657">
        <v>141477178.35608268</v>
      </c>
      <c r="J25" s="881">
        <v>148738121.9700827</v>
      </c>
      <c r="K25" s="654">
        <v>157373181.94584271</v>
      </c>
      <c r="L25" s="655">
        <v>165984592.31953067</v>
      </c>
    </row>
    <row r="26" spans="1:13" ht="5.0999999999999996" customHeight="1" x14ac:dyDescent="0.25">
      <c r="A26" s="199"/>
      <c r="B26" s="279"/>
      <c r="C26" s="205"/>
      <c r="D26" s="205"/>
      <c r="E26" s="256"/>
      <c r="F26" s="246"/>
      <c r="G26" s="205"/>
      <c r="H26" s="256"/>
      <c r="I26" s="208"/>
      <c r="J26" s="209"/>
      <c r="K26" s="205"/>
      <c r="L26" s="256"/>
    </row>
    <row r="27" spans="1:13" ht="11.25" customHeight="1" x14ac:dyDescent="0.25">
      <c r="A27" s="303" t="s">
        <v>573</v>
      </c>
      <c r="B27" s="279"/>
      <c r="C27" s="205"/>
      <c r="D27" s="205"/>
      <c r="E27" s="256"/>
      <c r="F27" s="246"/>
      <c r="G27" s="205"/>
      <c r="H27" s="256"/>
      <c r="I27" s="208"/>
      <c r="J27" s="209"/>
      <c r="K27" s="205"/>
      <c r="L27" s="256"/>
    </row>
    <row r="28" spans="1:13" ht="11.25" customHeight="1" x14ac:dyDescent="0.25">
      <c r="A28" s="303" t="s">
        <v>1026</v>
      </c>
      <c r="B28" s="281"/>
      <c r="C28" s="205"/>
      <c r="D28" s="205"/>
      <c r="E28" s="256"/>
      <c r="F28" s="246"/>
      <c r="G28" s="205"/>
      <c r="H28" s="256"/>
      <c r="I28" s="208"/>
      <c r="J28" s="209"/>
      <c r="K28" s="205"/>
      <c r="L28" s="256"/>
    </row>
    <row r="29" spans="1:13" ht="11.25" customHeight="1" x14ac:dyDescent="0.25">
      <c r="A29" s="189" t="s">
        <v>1301</v>
      </c>
      <c r="B29" s="279">
        <v>1</v>
      </c>
      <c r="C29" s="1030">
        <v>1784586.13</v>
      </c>
      <c r="D29" s="1030">
        <v>25679</v>
      </c>
      <c r="E29" s="1065">
        <v>1581362</v>
      </c>
      <c r="F29" s="1066">
        <v>829000</v>
      </c>
      <c r="G29" s="1030">
        <v>15133394.949309601</v>
      </c>
      <c r="H29" s="1065">
        <v>15133394.949309601</v>
      </c>
      <c r="I29" s="1067">
        <v>15133394.949309601</v>
      </c>
      <c r="J29" s="1031">
        <v>25238947.1452672</v>
      </c>
      <c r="K29" s="1030">
        <v>33973125.9451425</v>
      </c>
      <c r="L29" s="1065">
        <v>42513758.681566</v>
      </c>
    </row>
    <row r="30" spans="1:13" ht="11.25" customHeight="1" x14ac:dyDescent="0.25">
      <c r="A30" s="189" t="s">
        <v>1288</v>
      </c>
      <c r="B30" s="279">
        <v>4</v>
      </c>
      <c r="C30" s="205">
        <v>140911.67348343489</v>
      </c>
      <c r="D30" s="205">
        <v>197567</v>
      </c>
      <c r="E30" s="256">
        <v>230676</v>
      </c>
      <c r="F30" s="246">
        <v>453000</v>
      </c>
      <c r="G30" s="205">
        <v>200676</v>
      </c>
      <c r="H30" s="256">
        <v>200676</v>
      </c>
      <c r="I30" s="208">
        <v>200676</v>
      </c>
      <c r="J30" s="209">
        <v>197977.997894261</v>
      </c>
      <c r="K30" s="205">
        <v>175454.4</v>
      </c>
      <c r="L30" s="256">
        <v>0</v>
      </c>
    </row>
    <row r="31" spans="1:13" ht="11.25" customHeight="1" x14ac:dyDescent="0.25">
      <c r="A31" s="189" t="s">
        <v>1518</v>
      </c>
      <c r="B31" s="279"/>
      <c r="C31" s="1030">
        <v>121117</v>
      </c>
      <c r="D31" s="1030">
        <v>150851</v>
      </c>
      <c r="E31" s="1065">
        <v>156881</v>
      </c>
      <c r="F31" s="1066">
        <v>173000</v>
      </c>
      <c r="G31" s="1030">
        <v>166293.86000000002</v>
      </c>
      <c r="H31" s="1065">
        <v>166293.86000000002</v>
      </c>
      <c r="I31" s="1067">
        <v>166293.86000000002</v>
      </c>
      <c r="J31" s="1031">
        <v>177934.43020000003</v>
      </c>
      <c r="K31" s="1030">
        <v>190389.84031400006</v>
      </c>
      <c r="L31" s="1065">
        <v>203717.12913598007</v>
      </c>
      <c r="M31" s="338"/>
    </row>
    <row r="32" spans="1:13" ht="11.25" customHeight="1" x14ac:dyDescent="0.25">
      <c r="A32" s="189" t="s">
        <v>704</v>
      </c>
      <c r="B32" s="279">
        <v>4</v>
      </c>
      <c r="C32" s="205">
        <v>4111103</v>
      </c>
      <c r="D32" s="205">
        <v>11284258</v>
      </c>
      <c r="E32" s="256">
        <v>10979335.65</v>
      </c>
      <c r="F32" s="246">
        <v>7390969.7800000003</v>
      </c>
      <c r="G32" s="205">
        <v>11564648.278500002</v>
      </c>
      <c r="H32" s="256">
        <v>11564648.278500002</v>
      </c>
      <c r="I32" s="208">
        <v>11564648.278500002</v>
      </c>
      <c r="J32" s="209">
        <v>12060863.317995001</v>
      </c>
      <c r="K32" s="205">
        <v>12591813.410254652</v>
      </c>
      <c r="L32" s="256">
        <v>13159930.008972477</v>
      </c>
      <c r="M32" s="338"/>
    </row>
    <row r="33" spans="1:15" ht="11.25" customHeight="1" x14ac:dyDescent="0.25">
      <c r="A33" s="189" t="s">
        <v>1027</v>
      </c>
      <c r="B33" s="279"/>
      <c r="C33" s="1030">
        <v>948462</v>
      </c>
      <c r="D33" s="1030">
        <v>921299</v>
      </c>
      <c r="E33" s="1065">
        <v>945300</v>
      </c>
      <c r="F33" s="1066">
        <v>0</v>
      </c>
      <c r="G33" s="1030">
        <v>2709251.68</v>
      </c>
      <c r="H33" s="1065">
        <v>2709251.68</v>
      </c>
      <c r="I33" s="1067">
        <v>2709251.68</v>
      </c>
      <c r="J33" s="1031">
        <v>2871806.7808000003</v>
      </c>
      <c r="K33" s="1030">
        <v>3044115.1876480007</v>
      </c>
      <c r="L33" s="1065">
        <v>3226762.0989068807</v>
      </c>
      <c r="M33" s="338"/>
    </row>
    <row r="34" spans="1:15" ht="11.25" customHeight="1" x14ac:dyDescent="0.25">
      <c r="A34" s="311" t="s">
        <v>576</v>
      </c>
      <c r="B34" s="312"/>
      <c r="C34" s="654">
        <v>7392881.3634834345</v>
      </c>
      <c r="D34" s="654">
        <v>12599908.65</v>
      </c>
      <c r="E34" s="655">
        <v>15433806.65</v>
      </c>
      <c r="F34" s="656">
        <v>8845969.7800000012</v>
      </c>
      <c r="G34" s="654">
        <v>29774264.7678096</v>
      </c>
      <c r="H34" s="655">
        <v>29774264.7678096</v>
      </c>
      <c r="I34" s="657">
        <v>29774264.7678096</v>
      </c>
      <c r="J34" s="881">
        <v>40547529.672156461</v>
      </c>
      <c r="K34" s="654">
        <v>49974898.783359148</v>
      </c>
      <c r="L34" s="655">
        <v>59104167.918581344</v>
      </c>
      <c r="M34" s="338"/>
    </row>
    <row r="35" spans="1:15" ht="5.0999999999999996" customHeight="1" x14ac:dyDescent="0.25">
      <c r="A35" s="199"/>
      <c r="B35" s="279"/>
      <c r="C35" s="205"/>
      <c r="D35" s="205"/>
      <c r="E35" s="256"/>
      <c r="F35" s="246"/>
      <c r="G35" s="205"/>
      <c r="H35" s="256"/>
      <c r="I35" s="208"/>
      <c r="J35" s="209"/>
      <c r="K35" s="205"/>
      <c r="L35" s="256"/>
      <c r="M35" s="338"/>
    </row>
    <row r="36" spans="1:15" ht="11.25" customHeight="1" x14ac:dyDescent="0.25">
      <c r="A36" s="303" t="s">
        <v>574</v>
      </c>
      <c r="B36" s="279"/>
      <c r="C36" s="205"/>
      <c r="D36" s="205"/>
      <c r="E36" s="256"/>
      <c r="F36" s="246"/>
      <c r="G36" s="205"/>
      <c r="H36" s="256"/>
      <c r="I36" s="208"/>
      <c r="J36" s="209"/>
      <c r="K36" s="205"/>
      <c r="L36" s="256"/>
      <c r="M36" s="338"/>
    </row>
    <row r="37" spans="1:15" ht="11.25" customHeight="1" x14ac:dyDescent="0.25">
      <c r="A37" s="189" t="s">
        <v>1288</v>
      </c>
      <c r="B37" s="279"/>
      <c r="C37" s="205">
        <v>970807.81651656504</v>
      </c>
      <c r="D37" s="205">
        <v>922202</v>
      </c>
      <c r="E37" s="256">
        <v>691527</v>
      </c>
      <c r="F37" s="246">
        <v>1436000</v>
      </c>
      <c r="G37" s="205">
        <v>476653.05</v>
      </c>
      <c r="H37" s="256">
        <v>476653.05</v>
      </c>
      <c r="I37" s="208">
        <v>476653.05</v>
      </c>
      <c r="J37" s="209">
        <v>243841.1925</v>
      </c>
      <c r="K37" s="205">
        <v>58128.773624999994</v>
      </c>
      <c r="L37" s="256">
        <v>30000</v>
      </c>
      <c r="M37" s="338"/>
    </row>
    <row r="38" spans="1:15" ht="11.25" customHeight="1" x14ac:dyDescent="0.25">
      <c r="A38" s="189" t="s">
        <v>1027</v>
      </c>
      <c r="B38" s="279"/>
      <c r="C38" s="205">
        <v>3116089</v>
      </c>
      <c r="D38" s="205">
        <v>4786778</v>
      </c>
      <c r="E38" s="256">
        <v>4610365</v>
      </c>
      <c r="F38" s="246">
        <v>0</v>
      </c>
      <c r="G38" s="205">
        <v>4902759.4000000004</v>
      </c>
      <c r="H38" s="256">
        <v>4902759.4000000004</v>
      </c>
      <c r="I38" s="208">
        <v>4902759.4000000004</v>
      </c>
      <c r="J38" s="209">
        <v>5214116.9890000001</v>
      </c>
      <c r="K38" s="205">
        <v>5545703.3155900007</v>
      </c>
      <c r="L38" s="256">
        <v>5898871.3594279019</v>
      </c>
      <c r="M38" s="338"/>
    </row>
    <row r="39" spans="1:15" ht="11.25" customHeight="1" x14ac:dyDescent="0.25">
      <c r="A39" s="311" t="s">
        <v>575</v>
      </c>
      <c r="B39" s="1110"/>
      <c r="C39" s="1238">
        <v>5402119.8165165652</v>
      </c>
      <c r="D39" s="259">
        <v>5708980</v>
      </c>
      <c r="E39" s="260">
        <v>5301892</v>
      </c>
      <c r="F39" s="261">
        <v>1436000</v>
      </c>
      <c r="G39" s="259">
        <v>5379412.4500000002</v>
      </c>
      <c r="H39" s="260">
        <v>5379412.4500000002</v>
      </c>
      <c r="I39" s="261">
        <v>5379412.4500000002</v>
      </c>
      <c r="J39" s="262">
        <v>5457958.1814999999</v>
      </c>
      <c r="K39" s="259">
        <v>5603832.0892150011</v>
      </c>
      <c r="L39" s="260">
        <v>5928871.3594279019</v>
      </c>
    </row>
    <row r="40" spans="1:15" ht="11.25" customHeight="1" x14ac:dyDescent="0.25">
      <c r="A40" s="311" t="s">
        <v>1085</v>
      </c>
      <c r="B40" s="312"/>
      <c r="C40" s="654">
        <v>12795001.18</v>
      </c>
      <c r="D40" s="654">
        <v>18308888.649999999</v>
      </c>
      <c r="E40" s="655">
        <v>20735698.649999999</v>
      </c>
      <c r="F40" s="656">
        <v>10281969.780000001</v>
      </c>
      <c r="G40" s="654">
        <v>35153677.217809603</v>
      </c>
      <c r="H40" s="655">
        <v>35153677.217809603</v>
      </c>
      <c r="I40" s="657">
        <v>35153677.217809603</v>
      </c>
      <c r="J40" s="881">
        <v>46005487.853656463</v>
      </c>
      <c r="K40" s="654">
        <v>55578730.872574151</v>
      </c>
      <c r="L40" s="655">
        <v>65033039.278009243</v>
      </c>
    </row>
    <row r="41" spans="1:15" s="241" customFormat="1" ht="4.5" customHeight="1" x14ac:dyDescent="0.25">
      <c r="A41" s="199"/>
      <c r="B41" s="279"/>
      <c r="C41" s="205"/>
      <c r="D41" s="205"/>
      <c r="E41" s="256"/>
      <c r="F41" s="246"/>
      <c r="G41" s="205"/>
      <c r="H41" s="256"/>
      <c r="I41" s="208"/>
      <c r="J41" s="209"/>
      <c r="K41" s="205"/>
      <c r="L41" s="256"/>
      <c r="O41" s="148"/>
    </row>
    <row r="42" spans="1:15" ht="11.25" customHeight="1" x14ac:dyDescent="0.25">
      <c r="A42" s="314" t="s">
        <v>580</v>
      </c>
      <c r="B42" s="315">
        <v>5</v>
      </c>
      <c r="C42" s="316">
        <v>124529847.99538538</v>
      </c>
      <c r="D42" s="316">
        <v>126810362.7807577</v>
      </c>
      <c r="E42" s="882">
        <v>121756054.4260827</v>
      </c>
      <c r="F42" s="883">
        <v>148938599.12984207</v>
      </c>
      <c r="G42" s="316">
        <v>106323501.13827308</v>
      </c>
      <c r="H42" s="882">
        <v>106323501.13827308</v>
      </c>
      <c r="I42" s="823">
        <v>106323501.13827308</v>
      </c>
      <c r="J42" s="317">
        <v>102732634.11642623</v>
      </c>
      <c r="K42" s="316">
        <v>101794451.07326856</v>
      </c>
      <c r="L42" s="882">
        <v>100951553.04152143</v>
      </c>
    </row>
    <row r="43" spans="1:15" ht="5.0999999999999996" customHeight="1" x14ac:dyDescent="0.25">
      <c r="A43" s="199"/>
      <c r="B43" s="279"/>
      <c r="C43" s="205"/>
      <c r="D43" s="205"/>
      <c r="E43" s="256"/>
      <c r="F43" s="246"/>
      <c r="G43" s="205"/>
      <c r="H43" s="256"/>
      <c r="I43" s="208"/>
      <c r="J43" s="209"/>
      <c r="K43" s="205"/>
      <c r="L43" s="256"/>
    </row>
    <row r="44" spans="1:15" ht="11.25" customHeight="1" x14ac:dyDescent="0.25">
      <c r="A44" s="305" t="s">
        <v>579</v>
      </c>
      <c r="B44" s="279"/>
      <c r="C44" s="205"/>
      <c r="D44" s="205"/>
      <c r="E44" s="256"/>
      <c r="F44" s="246"/>
      <c r="G44" s="205"/>
      <c r="H44" s="256"/>
      <c r="I44" s="208"/>
      <c r="J44" s="209"/>
      <c r="K44" s="205"/>
      <c r="L44" s="256"/>
    </row>
    <row r="45" spans="1:15" ht="11.25" customHeight="1" x14ac:dyDescent="0.25">
      <c r="A45" s="189" t="s">
        <v>427</v>
      </c>
      <c r="B45" s="279"/>
      <c r="C45" s="1030">
        <v>108892392</v>
      </c>
      <c r="D45" s="1030">
        <v>125751075.78191918</v>
      </c>
      <c r="E45" s="1065">
        <v>120696767.42398737</v>
      </c>
      <c r="F45" s="1066">
        <v>0</v>
      </c>
      <c r="G45" s="1030">
        <v>105264214.13827309</v>
      </c>
      <c r="H45" s="1065">
        <v>105264214.13827309</v>
      </c>
      <c r="I45" s="1067">
        <v>105264214.13827309</v>
      </c>
      <c r="J45" s="1031">
        <v>101673347.11642623</v>
      </c>
      <c r="K45" s="1030">
        <v>100735164.07326856</v>
      </c>
      <c r="L45" s="1065">
        <v>99892266.04152143</v>
      </c>
    </row>
    <row r="46" spans="1:15" ht="11.25" customHeight="1" x14ac:dyDescent="0.25">
      <c r="A46" s="189" t="s">
        <v>753</v>
      </c>
      <c r="B46" s="279">
        <v>4</v>
      </c>
      <c r="C46" s="205">
        <v>1059287</v>
      </c>
      <c r="D46" s="205">
        <v>1059287</v>
      </c>
      <c r="E46" s="256">
        <v>1059287</v>
      </c>
      <c r="F46" s="246">
        <v>1425000</v>
      </c>
      <c r="G46" s="205">
        <v>1059287</v>
      </c>
      <c r="H46" s="256">
        <v>1059287</v>
      </c>
      <c r="I46" s="208">
        <v>1059287</v>
      </c>
      <c r="J46" s="209">
        <v>1059287</v>
      </c>
      <c r="K46" s="205">
        <v>1059287</v>
      </c>
      <c r="L46" s="256">
        <v>1059287</v>
      </c>
    </row>
    <row r="47" spans="1:15" ht="11.25" customHeight="1" x14ac:dyDescent="0.25">
      <c r="A47" s="189" t="s">
        <v>155</v>
      </c>
      <c r="B47" s="279"/>
      <c r="C47" s="1030">
        <v>0</v>
      </c>
      <c r="D47" s="1030">
        <v>0</v>
      </c>
      <c r="E47" s="1065">
        <v>0</v>
      </c>
      <c r="F47" s="1066"/>
      <c r="G47" s="1030"/>
      <c r="H47" s="1065"/>
      <c r="I47" s="1067"/>
      <c r="J47" s="1031"/>
      <c r="K47" s="1030"/>
      <c r="L47" s="1065"/>
    </row>
    <row r="48" spans="1:15" x14ac:dyDescent="0.25">
      <c r="A48" s="221" t="s">
        <v>1086</v>
      </c>
      <c r="B48" s="287">
        <v>5</v>
      </c>
      <c r="C48" s="224">
        <v>124529848</v>
      </c>
      <c r="D48" s="224">
        <v>126810362.78191918</v>
      </c>
      <c r="E48" s="320">
        <v>121756054.42398737</v>
      </c>
      <c r="F48" s="321">
        <v>1425000</v>
      </c>
      <c r="G48" s="224">
        <v>106323501.13827309</v>
      </c>
      <c r="H48" s="320">
        <v>106323501.13827309</v>
      </c>
      <c r="I48" s="223">
        <v>106323501.13827309</v>
      </c>
      <c r="J48" s="322">
        <v>102732634.11642623</v>
      </c>
      <c r="K48" s="224">
        <v>101794451.07326856</v>
      </c>
      <c r="L48" s="320">
        <v>100951553.04152143</v>
      </c>
    </row>
    <row r="49" spans="1:14" s="625" customFormat="1" x14ac:dyDescent="0.25">
      <c r="A49" s="995" t="s">
        <v>986</v>
      </c>
      <c r="B49" s="961"/>
      <c r="C49" s="2045"/>
      <c r="D49" s="2045"/>
      <c r="E49" s="2045"/>
      <c r="F49" s="2045"/>
      <c r="G49" s="2045"/>
      <c r="H49" s="2045"/>
      <c r="I49" s="2045"/>
      <c r="J49" s="2045"/>
      <c r="K49" s="2045"/>
      <c r="L49" s="2045"/>
    </row>
    <row r="50" spans="1:14" s="625" customFormat="1" x14ac:dyDescent="0.25">
      <c r="A50" s="2721" t="s">
        <v>1459</v>
      </c>
      <c r="B50" s="2721"/>
      <c r="C50" s="2721"/>
      <c r="D50" s="2721"/>
      <c r="E50" s="2721"/>
      <c r="F50" s="2721"/>
      <c r="G50" s="2721"/>
      <c r="H50" s="2721"/>
      <c r="I50" s="2721"/>
      <c r="J50" s="2721"/>
      <c r="K50" s="2721"/>
      <c r="L50" s="2721"/>
    </row>
    <row r="51" spans="1:14" s="625" customFormat="1" ht="12.75" customHeight="1" x14ac:dyDescent="0.25">
      <c r="A51" s="962" t="s">
        <v>1061</v>
      </c>
      <c r="B51" s="962"/>
      <c r="C51" s="931"/>
      <c r="D51" s="931"/>
      <c r="E51" s="931"/>
      <c r="F51" s="931"/>
      <c r="G51" s="931"/>
      <c r="H51" s="931"/>
      <c r="I51" s="931"/>
      <c r="J51" s="931"/>
      <c r="K51" s="931"/>
      <c r="L51" s="931"/>
    </row>
    <row r="52" spans="1:14" s="625" customFormat="1" ht="12.75" customHeight="1" x14ac:dyDescent="0.25">
      <c r="A52" s="962" t="s">
        <v>1831</v>
      </c>
      <c r="B52" s="962"/>
      <c r="C52" s="931"/>
      <c r="D52" s="931"/>
      <c r="E52" s="931"/>
      <c r="F52" s="931"/>
      <c r="G52" s="931"/>
      <c r="H52" s="931"/>
      <c r="I52" s="931"/>
      <c r="J52" s="931"/>
      <c r="K52" s="931"/>
      <c r="L52" s="931"/>
    </row>
    <row r="53" spans="1:14" s="625" customFormat="1" ht="12.75" customHeight="1" x14ac:dyDescent="0.25">
      <c r="A53" s="962" t="s">
        <v>453</v>
      </c>
      <c r="B53" s="962"/>
      <c r="C53" s="931"/>
      <c r="D53" s="931"/>
      <c r="E53" s="931"/>
      <c r="F53" s="931"/>
      <c r="G53" s="931"/>
      <c r="H53" s="931"/>
      <c r="I53" s="931"/>
      <c r="J53" s="931"/>
      <c r="K53" s="931"/>
      <c r="L53" s="931"/>
    </row>
    <row r="54" spans="1:14" s="625" customFormat="1" ht="11.25" customHeight="1" x14ac:dyDescent="0.25">
      <c r="A54" s="962" t="s">
        <v>135</v>
      </c>
      <c r="B54" s="961"/>
      <c r="C54" s="2044"/>
      <c r="D54" s="2044"/>
      <c r="E54" s="2045"/>
      <c r="F54" s="2045"/>
      <c r="G54" s="2045"/>
      <c r="H54" s="2045"/>
      <c r="I54" s="2045"/>
      <c r="J54" s="2045"/>
      <c r="K54" s="2045"/>
      <c r="L54" s="2045"/>
    </row>
    <row r="55" spans="1:14" ht="11.25" customHeight="1" x14ac:dyDescent="0.25">
      <c r="A55" s="1011" t="s">
        <v>296</v>
      </c>
      <c r="B55" s="961"/>
      <c r="C55" s="2154">
        <v>-4.6146214008331299E-3</v>
      </c>
      <c r="D55" s="2154">
        <v>-1.1614859104156494E-3</v>
      </c>
      <c r="E55" s="2154">
        <v>2.0953267812728882E-3</v>
      </c>
      <c r="F55" s="2154">
        <v>147513599.12984207</v>
      </c>
      <c r="G55" s="2154">
        <v>0</v>
      </c>
      <c r="H55" s="2154">
        <v>0</v>
      </c>
      <c r="I55" s="2154">
        <v>0</v>
      </c>
      <c r="J55" s="2154">
        <v>0</v>
      </c>
      <c r="K55" s="2154">
        <v>0</v>
      </c>
      <c r="L55" s="2154">
        <v>0</v>
      </c>
      <c r="M55" s="241"/>
      <c r="N55" s="241"/>
    </row>
    <row r="56" spans="1:14" ht="11.25" customHeight="1" x14ac:dyDescent="0.25"/>
    <row r="57" spans="1:14" ht="11.25" customHeight="1" x14ac:dyDescent="0.25">
      <c r="B57" s="148"/>
    </row>
    <row r="58" spans="1:14" ht="11.25" customHeight="1" x14ac:dyDescent="0.25">
      <c r="B58" s="148"/>
    </row>
    <row r="59" spans="1:14" ht="11.25" customHeight="1" x14ac:dyDescent="0.25">
      <c r="B59" s="148"/>
    </row>
    <row r="60" spans="1:14" ht="11.25" customHeight="1" x14ac:dyDescent="0.25">
      <c r="B60" s="148"/>
    </row>
    <row r="61" spans="1:14" ht="11.25" customHeight="1" x14ac:dyDescent="0.25"/>
    <row r="62" spans="1:14" ht="11.25" customHeight="1" x14ac:dyDescent="0.25"/>
    <row r="63" spans="1:14" ht="11.25" customHeight="1" x14ac:dyDescent="0.25"/>
    <row r="64" spans="1:1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mergeCells count="3">
    <mergeCell ref="A50:L50"/>
    <mergeCell ref="J2:L2"/>
    <mergeCell ref="F2:I2"/>
  </mergeCells>
  <phoneticPr fontId="4" type="noConversion"/>
  <pageMargins left="0.75" right="0.75" top="1" bottom="1" header="0.5" footer="0.5"/>
  <pageSetup scale="7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tabColor indexed="44"/>
    <pageSetUpPr fitToPage="1"/>
  </sheetPr>
  <dimension ref="A1:P77"/>
  <sheetViews>
    <sheetView showGridLines="0" tabSelected="1" workbookViewId="0">
      <pane xSplit="2" ySplit="3" topLeftCell="C23"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
        <v>2500</v>
      </c>
      <c r="B1" s="146"/>
      <c r="C1" s="1997"/>
      <c r="D1" s="1997"/>
      <c r="E1" s="1997"/>
      <c r="F1" s="1997"/>
      <c r="G1" s="1997"/>
      <c r="H1" s="1997"/>
      <c r="I1" s="1997"/>
      <c r="J1" s="1997"/>
      <c r="K1" s="1997"/>
      <c r="L1" s="1997"/>
    </row>
    <row r="2" spans="1:12" ht="28.5" customHeight="1" x14ac:dyDescent="0.25">
      <c r="A2" s="784" t="s">
        <v>775</v>
      </c>
      <c r="B2" s="379" t="s">
        <v>429</v>
      </c>
      <c r="C2" s="149" t="s">
        <v>2478</v>
      </c>
      <c r="D2" s="149" t="s">
        <v>2479</v>
      </c>
      <c r="E2" s="1996" t="s">
        <v>2480</v>
      </c>
      <c r="F2" s="2700" t="s">
        <v>2481</v>
      </c>
      <c r="G2" s="2701"/>
      <c r="H2" s="2701"/>
      <c r="I2" s="2701"/>
      <c r="J2" s="2697" t="s">
        <v>2482</v>
      </c>
      <c r="K2" s="2698"/>
      <c r="L2" s="2699"/>
    </row>
    <row r="3" spans="1:12" ht="25.5" x14ac:dyDescent="0.25">
      <c r="A3" s="179" t="s">
        <v>667</v>
      </c>
      <c r="B3" s="791"/>
      <c r="C3" s="2009" t="s">
        <v>1065</v>
      </c>
      <c r="D3" s="2009" t="s">
        <v>1065</v>
      </c>
      <c r="E3" s="354" t="s">
        <v>1065</v>
      </c>
      <c r="F3" s="2004" t="s">
        <v>467</v>
      </c>
      <c r="G3" s="2009" t="s">
        <v>1807</v>
      </c>
      <c r="H3" s="354" t="s">
        <v>1808</v>
      </c>
      <c r="I3" s="2018" t="s">
        <v>672</v>
      </c>
      <c r="J3" s="2004" t="s">
        <v>2483</v>
      </c>
      <c r="K3" s="2009" t="s">
        <v>2484</v>
      </c>
      <c r="L3" s="354" t="s">
        <v>2485</v>
      </c>
    </row>
    <row r="4" spans="1:12" ht="11.25" customHeight="1" x14ac:dyDescent="0.25">
      <c r="A4" s="303" t="s">
        <v>939</v>
      </c>
      <c r="B4" s="278"/>
      <c r="C4" s="749"/>
      <c r="D4" s="749"/>
      <c r="E4" s="774"/>
      <c r="F4" s="773"/>
      <c r="G4" s="749"/>
      <c r="H4" s="774"/>
      <c r="I4" s="750"/>
      <c r="J4" s="2127"/>
      <c r="K4" s="749"/>
      <c r="L4" s="774"/>
    </row>
    <row r="5" spans="1:12" ht="11.25" customHeight="1" x14ac:dyDescent="0.25">
      <c r="A5" s="305" t="s">
        <v>832</v>
      </c>
      <c r="B5" s="279"/>
      <c r="C5" s="205"/>
      <c r="D5" s="205"/>
      <c r="E5" s="256"/>
      <c r="F5" s="246"/>
      <c r="G5" s="205"/>
      <c r="H5" s="256"/>
      <c r="I5" s="208"/>
      <c r="J5" s="209"/>
      <c r="K5" s="205"/>
      <c r="L5" s="256"/>
    </row>
    <row r="6" spans="1:12" ht="11.25" customHeight="1" x14ac:dyDescent="0.25">
      <c r="A6" s="302" t="s">
        <v>1487</v>
      </c>
      <c r="B6" s="279"/>
      <c r="C6" s="1030">
        <v>56997896</v>
      </c>
      <c r="D6" s="1030">
        <v>26201176</v>
      </c>
      <c r="E6" s="1065">
        <v>39355746</v>
      </c>
      <c r="F6" s="2091">
        <v>20324780.706879999</v>
      </c>
      <c r="G6" s="2089">
        <v>30606296.719999995</v>
      </c>
      <c r="H6" s="2090">
        <v>30606296.719999995</v>
      </c>
      <c r="I6" s="1067">
        <v>30606296.719999995</v>
      </c>
      <c r="J6" s="1031">
        <v>44809743.448484272</v>
      </c>
      <c r="K6" s="1030">
        <v>47381706.910473317</v>
      </c>
      <c r="L6" s="1065">
        <v>49883258.51371932</v>
      </c>
    </row>
    <row r="7" spans="1:12" ht="11.25" customHeight="1" x14ac:dyDescent="0.25">
      <c r="A7" s="302" t="s">
        <v>1488</v>
      </c>
      <c r="B7" s="279">
        <v>1</v>
      </c>
      <c r="C7" s="1030">
        <v>11070907</v>
      </c>
      <c r="D7" s="1030">
        <v>28370767</v>
      </c>
      <c r="E7" s="1030">
        <v>16301897.869999999</v>
      </c>
      <c r="F7" s="2091">
        <v>18061000</v>
      </c>
      <c r="G7" s="2089">
        <v>18623000</v>
      </c>
      <c r="H7" s="2090">
        <v>18623000</v>
      </c>
      <c r="I7" s="1067">
        <v>18623000</v>
      </c>
      <c r="J7" s="1031">
        <v>20785000</v>
      </c>
      <c r="K7" s="1030">
        <v>22636800</v>
      </c>
      <c r="L7" s="1065">
        <v>24289408</v>
      </c>
    </row>
    <row r="8" spans="1:12" ht="11.25" customHeight="1" x14ac:dyDescent="0.25">
      <c r="A8" s="302" t="s">
        <v>1489</v>
      </c>
      <c r="B8" s="279">
        <v>1</v>
      </c>
      <c r="C8" s="1030">
        <v>6593235.0200000005</v>
      </c>
      <c r="D8" s="1030">
        <v>13065498.3018</v>
      </c>
      <c r="E8" s="1030">
        <v>3430273</v>
      </c>
      <c r="F8" s="2091">
        <v>9488000</v>
      </c>
      <c r="G8" s="2089">
        <v>9488000</v>
      </c>
      <c r="H8" s="2090">
        <v>9488000</v>
      </c>
      <c r="I8" s="1067">
        <v>9488000</v>
      </c>
      <c r="J8" s="1031">
        <v>11510000</v>
      </c>
      <c r="K8" s="1030">
        <v>12141000</v>
      </c>
      <c r="L8" s="1065">
        <v>12843000</v>
      </c>
    </row>
    <row r="9" spans="1:12" ht="11.25" customHeight="1" x14ac:dyDescent="0.25">
      <c r="A9" s="302" t="s">
        <v>345</v>
      </c>
      <c r="B9" s="279"/>
      <c r="C9" s="1030">
        <v>2384995.9699999997</v>
      </c>
      <c r="D9" s="1030">
        <v>2154637.48</v>
      </c>
      <c r="E9" s="1065">
        <v>1954288.6570000001</v>
      </c>
      <c r="F9" s="2091">
        <v>250000</v>
      </c>
      <c r="G9" s="2089">
        <v>320000</v>
      </c>
      <c r="H9" s="2090">
        <v>320000</v>
      </c>
      <c r="I9" s="1067">
        <v>320000</v>
      </c>
      <c r="J9" s="1031">
        <v>2180000</v>
      </c>
      <c r="K9" s="1030">
        <v>2310800</v>
      </c>
      <c r="L9" s="1065">
        <v>2449448</v>
      </c>
    </row>
    <row r="10" spans="1:12" ht="11.25" customHeight="1" x14ac:dyDescent="0.25">
      <c r="A10" s="302" t="s">
        <v>608</v>
      </c>
      <c r="B10" s="279"/>
      <c r="C10" s="1030">
        <v>0</v>
      </c>
      <c r="D10" s="1030">
        <v>0</v>
      </c>
      <c r="E10" s="1065">
        <v>0</v>
      </c>
      <c r="F10" s="2091">
        <v>0</v>
      </c>
      <c r="G10" s="2089">
        <v>0</v>
      </c>
      <c r="H10" s="2090">
        <v>0</v>
      </c>
      <c r="I10" s="1067">
        <v>0</v>
      </c>
      <c r="J10" s="1031">
        <v>0</v>
      </c>
      <c r="K10" s="1030">
        <v>0</v>
      </c>
      <c r="L10" s="1065">
        <v>0</v>
      </c>
    </row>
    <row r="11" spans="1:12" ht="11.25" customHeight="1" x14ac:dyDescent="0.25">
      <c r="A11" s="305" t="s">
        <v>833</v>
      </c>
      <c r="B11" s="279"/>
      <c r="C11" s="205"/>
      <c r="D11" s="205"/>
      <c r="E11" s="256"/>
      <c r="F11" s="246"/>
      <c r="G11" s="205"/>
      <c r="H11" s="256"/>
      <c r="I11" s="208"/>
      <c r="J11" s="209"/>
      <c r="K11" s="205"/>
      <c r="L11" s="256"/>
    </row>
    <row r="12" spans="1:12" ht="11.25" customHeight="1" x14ac:dyDescent="0.25">
      <c r="A12" s="302" t="s">
        <v>1490</v>
      </c>
      <c r="B12" s="279"/>
      <c r="C12" s="1030">
        <v>-42522381.587332599</v>
      </c>
      <c r="D12" s="1030">
        <v>-31918827.52</v>
      </c>
      <c r="E12" s="1065">
        <v>-48027228.690000005</v>
      </c>
      <c r="F12" s="2091">
        <v>-30240057.978800002</v>
      </c>
      <c r="G12" s="2089">
        <v>-63670235.804357126</v>
      </c>
      <c r="H12" s="2090">
        <v>-63670235.804357126</v>
      </c>
      <c r="I12" s="1067">
        <v>-63670235.804357126</v>
      </c>
      <c r="J12" s="1031">
        <v>-70730410.671836153</v>
      </c>
      <c r="K12" s="1030">
        <v>-72691548.279501364</v>
      </c>
      <c r="L12" s="1065">
        <v>-77163645.137696311</v>
      </c>
    </row>
    <row r="13" spans="1:12" ht="11.25" customHeight="1" x14ac:dyDescent="0.25">
      <c r="A13" s="302" t="s">
        <v>1565</v>
      </c>
      <c r="B13" s="279"/>
      <c r="C13" s="1030">
        <v>-601015.97</v>
      </c>
      <c r="D13" s="1030">
        <v>-942690.57152789168</v>
      </c>
      <c r="E13" s="1065">
        <v>-907385.78726348281</v>
      </c>
      <c r="F13" s="2091">
        <v>-453000</v>
      </c>
      <c r="G13" s="2089">
        <v>-486000</v>
      </c>
      <c r="H13" s="2090">
        <v>-486000</v>
      </c>
      <c r="I13" s="1067">
        <v>-486000</v>
      </c>
      <c r="J13" s="1031">
        <v>-650360</v>
      </c>
      <c r="K13" s="1030">
        <v>-689381.60000000009</v>
      </c>
      <c r="L13" s="1065">
        <v>-730744.49600000004</v>
      </c>
    </row>
    <row r="14" spans="1:12" ht="11.25" customHeight="1" x14ac:dyDescent="0.25">
      <c r="A14" s="302" t="s">
        <v>1286</v>
      </c>
      <c r="B14" s="279">
        <v>1</v>
      </c>
      <c r="C14" s="1030">
        <v>-3404607.72</v>
      </c>
      <c r="D14" s="1030">
        <v>-2658653.4800000004</v>
      </c>
      <c r="E14" s="1065">
        <v>-3547815.1500000004</v>
      </c>
      <c r="F14" s="2091">
        <v>-3483078.63</v>
      </c>
      <c r="G14" s="2089">
        <v>-3558108.7728571426</v>
      </c>
      <c r="H14" s="2090">
        <v>-3558108.7728571426</v>
      </c>
      <c r="I14" s="1067">
        <v>-3558108.7728571426</v>
      </c>
      <c r="J14" s="1031">
        <v>-4985825.6831999999</v>
      </c>
      <c r="K14" s="1030">
        <v>-5284975.224192</v>
      </c>
      <c r="L14" s="1065">
        <v>-5602073.7376435203</v>
      </c>
    </row>
    <row r="15" spans="1:12" ht="11.25" customHeight="1" x14ac:dyDescent="0.25">
      <c r="A15" s="311" t="s">
        <v>698</v>
      </c>
      <c r="B15" s="312"/>
      <c r="C15" s="654">
        <v>12854887.100000009</v>
      </c>
      <c r="D15" s="654">
        <v>21206408.908472106</v>
      </c>
      <c r="E15" s="655">
        <v>5129502.8997365087</v>
      </c>
      <c r="F15" s="656">
        <v>13947644.098080002</v>
      </c>
      <c r="G15" s="654">
        <v>-8677047.857214272</v>
      </c>
      <c r="H15" s="657">
        <v>-8677047.857214272</v>
      </c>
      <c r="I15" s="656">
        <v>-8677047.857214272</v>
      </c>
      <c r="J15" s="881">
        <v>2918147.0934481174</v>
      </c>
      <c r="K15" s="654">
        <v>5804401.8067799658</v>
      </c>
      <c r="L15" s="655">
        <v>5968651.1423794776</v>
      </c>
    </row>
    <row r="16" spans="1:12" ht="5.0999999999999996" customHeight="1" x14ac:dyDescent="0.25">
      <c r="A16" s="199"/>
      <c r="B16" s="279"/>
      <c r="C16" s="205"/>
      <c r="D16" s="205"/>
      <c r="E16" s="256"/>
      <c r="F16" s="246"/>
      <c r="G16" s="205"/>
      <c r="H16" s="256"/>
      <c r="I16" s="208"/>
      <c r="J16" s="209"/>
      <c r="K16" s="205"/>
      <c r="L16" s="256"/>
    </row>
    <row r="17" spans="1:12" ht="11.25" customHeight="1" x14ac:dyDescent="0.25">
      <c r="A17" s="303" t="s">
        <v>297</v>
      </c>
      <c r="B17" s="279"/>
      <c r="C17" s="205"/>
      <c r="D17" s="205"/>
      <c r="E17" s="256"/>
      <c r="F17" s="246"/>
      <c r="G17" s="205"/>
      <c r="H17" s="256"/>
      <c r="I17" s="208"/>
      <c r="J17" s="209"/>
      <c r="K17" s="205"/>
      <c r="L17" s="256"/>
    </row>
    <row r="18" spans="1:12" ht="11.25" customHeight="1" x14ac:dyDescent="0.25">
      <c r="A18" s="303" t="s">
        <v>832</v>
      </c>
      <c r="B18" s="279"/>
      <c r="C18" s="357"/>
      <c r="D18" s="357"/>
      <c r="E18" s="313"/>
      <c r="F18" s="358"/>
      <c r="G18" s="357"/>
      <c r="H18" s="313"/>
      <c r="I18" s="359"/>
      <c r="J18" s="1190"/>
      <c r="K18" s="357"/>
      <c r="L18" s="313"/>
    </row>
    <row r="19" spans="1:12" ht="11.25" customHeight="1" x14ac:dyDescent="0.25">
      <c r="A19" s="302" t="s">
        <v>1539</v>
      </c>
      <c r="B19" s="279"/>
      <c r="C19" s="1030">
        <v>9466</v>
      </c>
      <c r="D19" s="1030">
        <v>2559</v>
      </c>
      <c r="E19" s="1065">
        <v>24900</v>
      </c>
      <c r="F19" s="2091">
        <v>0</v>
      </c>
      <c r="G19" s="2089">
        <v>72000</v>
      </c>
      <c r="H19" s="2090">
        <v>72000</v>
      </c>
      <c r="I19" s="1067">
        <v>72000</v>
      </c>
      <c r="J19" s="2092">
        <v>225000</v>
      </c>
      <c r="K19" s="2089">
        <v>238500</v>
      </c>
      <c r="L19" s="2090">
        <v>252810</v>
      </c>
    </row>
    <row r="20" spans="1:12" ht="11.25" customHeight="1" x14ac:dyDescent="0.25">
      <c r="A20" s="302" t="s">
        <v>1247</v>
      </c>
      <c r="B20" s="279"/>
      <c r="C20" s="1030">
        <v>0</v>
      </c>
      <c r="D20" s="2089">
        <v>0</v>
      </c>
      <c r="E20" s="2090">
        <v>0</v>
      </c>
      <c r="F20" s="2091">
        <v>0</v>
      </c>
      <c r="G20" s="2089">
        <v>0</v>
      </c>
      <c r="H20" s="2090">
        <v>0</v>
      </c>
      <c r="I20" s="1067">
        <v>0</v>
      </c>
      <c r="J20" s="1031">
        <v>0</v>
      </c>
      <c r="K20" s="1030">
        <v>0</v>
      </c>
      <c r="L20" s="1065">
        <v>0</v>
      </c>
    </row>
    <row r="21" spans="1:12" ht="11.25" customHeight="1" x14ac:dyDescent="0.25">
      <c r="A21" s="302" t="s">
        <v>696</v>
      </c>
      <c r="B21" s="279"/>
      <c r="C21" s="2089">
        <v>-219784.01</v>
      </c>
      <c r="D21" s="1030">
        <v>-23949</v>
      </c>
      <c r="E21" s="1065">
        <v>-174236</v>
      </c>
      <c r="F21" s="2091">
        <v>-260140.96000000002</v>
      </c>
      <c r="G21" s="2089">
        <v>0</v>
      </c>
      <c r="H21" s="2090">
        <v>0</v>
      </c>
      <c r="I21" s="1067">
        <v>0</v>
      </c>
      <c r="J21" s="2092">
        <v>0</v>
      </c>
      <c r="K21" s="2089">
        <v>0</v>
      </c>
      <c r="L21" s="2090">
        <v>0</v>
      </c>
    </row>
    <row r="22" spans="1:12" ht="11.25" customHeight="1" x14ac:dyDescent="0.25">
      <c r="A22" s="302" t="s">
        <v>697</v>
      </c>
      <c r="B22" s="279"/>
      <c r="C22" s="1030">
        <v>-174085.82000000007</v>
      </c>
      <c r="D22" s="1030">
        <v>567481</v>
      </c>
      <c r="E22" s="1065">
        <v>-24398</v>
      </c>
      <c r="F22" s="2091">
        <v>0</v>
      </c>
      <c r="G22" s="2089">
        <v>0</v>
      </c>
      <c r="H22" s="2090">
        <v>0</v>
      </c>
      <c r="I22" s="1067">
        <v>0</v>
      </c>
      <c r="J22" s="1031">
        <v>-59830</v>
      </c>
      <c r="K22" s="1030">
        <v>-89000</v>
      </c>
      <c r="L22" s="1065">
        <v>-94000</v>
      </c>
    </row>
    <row r="23" spans="1:12" ht="11.25" customHeight="1" x14ac:dyDescent="0.25">
      <c r="A23" s="303" t="s">
        <v>833</v>
      </c>
      <c r="B23" s="279"/>
      <c r="C23" s="1030"/>
      <c r="D23" s="1030"/>
      <c r="E23" s="1065"/>
      <c r="F23" s="1066"/>
      <c r="G23" s="1030"/>
      <c r="H23" s="1065"/>
      <c r="I23" s="1067"/>
      <c r="J23" s="1031"/>
      <c r="K23" s="1030"/>
      <c r="L23" s="1065"/>
    </row>
    <row r="24" spans="1:12" ht="11.25" customHeight="1" x14ac:dyDescent="0.25">
      <c r="A24" s="189" t="s">
        <v>1491</v>
      </c>
      <c r="B24" s="279"/>
      <c r="C24" s="1030">
        <v>-16811862</v>
      </c>
      <c r="D24" s="1030">
        <v>-15659897</v>
      </c>
      <c r="E24" s="1065">
        <v>-6146773</v>
      </c>
      <c r="F24" s="2091">
        <v>-9488000</v>
      </c>
      <c r="G24" s="2089">
        <v>-9780000</v>
      </c>
      <c r="H24" s="2090">
        <v>-9780000</v>
      </c>
      <c r="I24" s="1067">
        <v>-9780000</v>
      </c>
      <c r="J24" s="1031">
        <v>-12965000</v>
      </c>
      <c r="K24" s="1030">
        <v>-14492300</v>
      </c>
      <c r="L24" s="1065">
        <v>-14477838</v>
      </c>
    </row>
    <row r="25" spans="1:12" ht="11.25" customHeight="1" x14ac:dyDescent="0.25">
      <c r="A25" s="311" t="s">
        <v>699</v>
      </c>
      <c r="B25" s="312"/>
      <c r="C25" s="654">
        <v>-17196265.829999998</v>
      </c>
      <c r="D25" s="654">
        <v>-15158136</v>
      </c>
      <c r="E25" s="655">
        <v>-6320507</v>
      </c>
      <c r="F25" s="656">
        <v>-9748140.9600000009</v>
      </c>
      <c r="G25" s="654">
        <v>-9708000</v>
      </c>
      <c r="H25" s="655">
        <v>-9708000</v>
      </c>
      <c r="I25" s="657">
        <v>-9708000</v>
      </c>
      <c r="J25" s="881">
        <v>-12799830</v>
      </c>
      <c r="K25" s="654">
        <v>-14342800</v>
      </c>
      <c r="L25" s="655">
        <v>-14319028</v>
      </c>
    </row>
    <row r="26" spans="1:12" ht="5.0999999999999996" customHeight="1" x14ac:dyDescent="0.25">
      <c r="A26" s="199"/>
      <c r="B26" s="279"/>
      <c r="C26" s="205"/>
      <c r="D26" s="205"/>
      <c r="E26" s="256"/>
      <c r="F26" s="246"/>
      <c r="G26" s="205"/>
      <c r="H26" s="256"/>
      <c r="I26" s="208"/>
      <c r="J26" s="209"/>
      <c r="K26" s="205"/>
      <c r="L26" s="256"/>
    </row>
    <row r="27" spans="1:12" ht="11.25" customHeight="1" x14ac:dyDescent="0.25">
      <c r="A27" s="303" t="s">
        <v>1300</v>
      </c>
      <c r="B27" s="279"/>
      <c r="C27" s="205"/>
      <c r="D27" s="205"/>
      <c r="E27" s="256"/>
      <c r="F27" s="246"/>
      <c r="G27" s="205"/>
      <c r="H27" s="256"/>
      <c r="I27" s="208"/>
      <c r="J27" s="209"/>
      <c r="K27" s="205"/>
      <c r="L27" s="256"/>
    </row>
    <row r="28" spans="1:12" ht="11.25" customHeight="1" x14ac:dyDescent="0.25">
      <c r="A28" s="303" t="s">
        <v>832</v>
      </c>
      <c r="B28" s="279"/>
      <c r="C28" s="205"/>
      <c r="D28" s="205"/>
      <c r="E28" s="256"/>
      <c r="F28" s="246"/>
      <c r="G28" s="205"/>
      <c r="H28" s="256"/>
      <c r="I28" s="208"/>
      <c r="J28" s="209"/>
      <c r="K28" s="205"/>
      <c r="L28" s="256"/>
    </row>
    <row r="29" spans="1:12" ht="11.25" customHeight="1" x14ac:dyDescent="0.25">
      <c r="A29" s="189" t="s">
        <v>835</v>
      </c>
      <c r="B29" s="279"/>
      <c r="C29" s="1030">
        <v>0</v>
      </c>
      <c r="D29" s="1030">
        <v>0</v>
      </c>
      <c r="E29" s="1065">
        <v>0</v>
      </c>
      <c r="F29" s="2091">
        <v>0</v>
      </c>
      <c r="G29" s="2089">
        <v>0</v>
      </c>
      <c r="H29" s="2090">
        <v>0</v>
      </c>
      <c r="I29" s="1067">
        <v>0</v>
      </c>
      <c r="J29" s="1031">
        <v>0</v>
      </c>
      <c r="K29" s="1030">
        <v>0</v>
      </c>
      <c r="L29" s="1065">
        <v>0</v>
      </c>
    </row>
    <row r="30" spans="1:12" ht="11.25" customHeight="1" x14ac:dyDescent="0.25">
      <c r="A30" s="302" t="s">
        <v>799</v>
      </c>
      <c r="B30" s="279"/>
      <c r="C30" s="1030">
        <v>0</v>
      </c>
      <c r="D30" s="1030">
        <v>177073.18</v>
      </c>
      <c r="E30" s="1065">
        <v>0</v>
      </c>
      <c r="F30" s="2091">
        <v>0</v>
      </c>
      <c r="G30" s="2089">
        <v>0</v>
      </c>
      <c r="H30" s="2090">
        <v>0</v>
      </c>
      <c r="I30" s="1067">
        <v>0</v>
      </c>
      <c r="J30" s="1031">
        <v>0</v>
      </c>
      <c r="K30" s="1030">
        <v>0</v>
      </c>
      <c r="L30" s="1065">
        <v>0</v>
      </c>
    </row>
    <row r="31" spans="1:12" ht="11.25" customHeight="1" x14ac:dyDescent="0.25">
      <c r="A31" s="302" t="s">
        <v>387</v>
      </c>
      <c r="B31" s="279"/>
      <c r="C31" s="1030">
        <v>19387.300000000003</v>
      </c>
      <c r="D31" s="1030">
        <v>29734</v>
      </c>
      <c r="E31" s="1065">
        <v>6030</v>
      </c>
      <c r="F31" s="2091">
        <v>173000</v>
      </c>
      <c r="G31" s="2089">
        <v>9412.8600000000151</v>
      </c>
      <c r="H31" s="2090">
        <v>9412.8600000000151</v>
      </c>
      <c r="I31" s="1067">
        <v>9412.8600000000151</v>
      </c>
      <c r="J31" s="1031">
        <v>11640.570200000016</v>
      </c>
      <c r="K31" s="1030">
        <v>12455.410114000028</v>
      </c>
      <c r="L31" s="1065">
        <v>13327.288821980008</v>
      </c>
    </row>
    <row r="32" spans="1:12" ht="11.25" customHeight="1" x14ac:dyDescent="0.25">
      <c r="A32" s="305" t="s">
        <v>833</v>
      </c>
      <c r="B32" s="279"/>
      <c r="C32" s="1030"/>
      <c r="D32" s="1030"/>
      <c r="E32" s="1065"/>
      <c r="F32" s="1066"/>
      <c r="G32" s="1030"/>
      <c r="H32" s="1065"/>
      <c r="I32" s="1067"/>
      <c r="J32" s="1031"/>
      <c r="K32" s="1030"/>
      <c r="L32" s="1065"/>
    </row>
    <row r="33" spans="1:16" ht="11.25" customHeight="1" x14ac:dyDescent="0.25">
      <c r="A33" s="302" t="s">
        <v>834</v>
      </c>
      <c r="B33" s="279"/>
      <c r="C33" s="1030">
        <v>-390960.19000000018</v>
      </c>
      <c r="D33" s="1030">
        <v>-169023.1102585576</v>
      </c>
      <c r="E33" s="1065">
        <v>-197566</v>
      </c>
      <c r="F33" s="2091">
        <v>-1889000</v>
      </c>
      <c r="G33" s="2089">
        <v>-244873.94999999995</v>
      </c>
      <c r="H33" s="2090">
        <v>-244873.94999999995</v>
      </c>
      <c r="I33" s="1067">
        <v>-244873.94999999995</v>
      </c>
      <c r="J33" s="1031">
        <v>-235509.85960573898</v>
      </c>
      <c r="K33" s="1030">
        <v>-208236.01676926101</v>
      </c>
      <c r="L33" s="1065">
        <v>-203583.173625</v>
      </c>
    </row>
    <row r="34" spans="1:16" ht="11.25" customHeight="1" x14ac:dyDescent="0.25">
      <c r="A34" s="311" t="s">
        <v>831</v>
      </c>
      <c r="B34" s="312"/>
      <c r="C34" s="654">
        <v>-371572.89000000019</v>
      </c>
      <c r="D34" s="654">
        <v>37784.069741442392</v>
      </c>
      <c r="E34" s="655">
        <v>-191536</v>
      </c>
      <c r="F34" s="656">
        <v>-1716000</v>
      </c>
      <c r="G34" s="654">
        <v>-235461.08999999994</v>
      </c>
      <c r="H34" s="655">
        <v>-235461.08999999994</v>
      </c>
      <c r="I34" s="657">
        <v>-235461.08999999994</v>
      </c>
      <c r="J34" s="881">
        <v>-223869.28940573896</v>
      </c>
      <c r="K34" s="654">
        <v>-195780.60665526098</v>
      </c>
      <c r="L34" s="655">
        <v>-190255.88480301999</v>
      </c>
    </row>
    <row r="35" spans="1:16" ht="5.0999999999999996" customHeight="1" x14ac:dyDescent="0.25">
      <c r="A35" s="199"/>
      <c r="B35" s="279"/>
      <c r="C35" s="205"/>
      <c r="D35" s="205"/>
      <c r="E35" s="256"/>
      <c r="F35" s="246"/>
      <c r="G35" s="205"/>
      <c r="H35" s="256"/>
      <c r="I35" s="208"/>
      <c r="J35" s="209"/>
      <c r="K35" s="205"/>
      <c r="L35" s="256"/>
    </row>
    <row r="36" spans="1:16" ht="11.25" customHeight="1" x14ac:dyDescent="0.25">
      <c r="A36" s="303" t="s">
        <v>1574</v>
      </c>
      <c r="B36" s="279"/>
      <c r="C36" s="357">
        <v>-4712951.6199999899</v>
      </c>
      <c r="D36" s="357">
        <v>6086056.9782135487</v>
      </c>
      <c r="E36" s="313">
        <v>-1382540.1002634913</v>
      </c>
      <c r="F36" s="358">
        <v>2483503.1380800009</v>
      </c>
      <c r="G36" s="357">
        <v>-18620508.947214272</v>
      </c>
      <c r="H36" s="313">
        <v>-18620508.947214272</v>
      </c>
      <c r="I36" s="359">
        <v>-18620508.947214272</v>
      </c>
      <c r="J36" s="1190">
        <v>-10105552.195957622</v>
      </c>
      <c r="K36" s="357">
        <v>-8734178.7998752948</v>
      </c>
      <c r="L36" s="313">
        <v>-8540632.7424235418</v>
      </c>
    </row>
    <row r="37" spans="1:16" ht="11.25" customHeight="1" x14ac:dyDescent="0.25">
      <c r="A37" s="189" t="s">
        <v>940</v>
      </c>
      <c r="B37" s="279">
        <v>2</v>
      </c>
      <c r="C37" s="2119">
        <v>3496546.4699999997</v>
      </c>
      <c r="D37" s="357">
        <v>-1216405.1499999901</v>
      </c>
      <c r="E37" s="313">
        <v>4869651.8282135585</v>
      </c>
      <c r="F37" s="2091">
        <v>13906000</v>
      </c>
      <c r="G37" s="2089">
        <v>3487111.7279500673</v>
      </c>
      <c r="H37" s="2090">
        <v>3487111.7279500673</v>
      </c>
      <c r="I37" s="359">
        <v>3487111.7279500673</v>
      </c>
      <c r="J37" s="2155">
        <v>-15133397.219264206</v>
      </c>
      <c r="K37" s="357">
        <v>-25238949.415221825</v>
      </c>
      <c r="L37" s="313">
        <v>-33973128.215097122</v>
      </c>
    </row>
    <row r="38" spans="1:16" ht="11.25" customHeight="1" x14ac:dyDescent="0.25">
      <c r="A38" s="1049" t="s">
        <v>1287</v>
      </c>
      <c r="B38" s="315">
        <v>2</v>
      </c>
      <c r="C38" s="316">
        <v>-1216405.1499999901</v>
      </c>
      <c r="D38" s="316">
        <v>4869651.8282135585</v>
      </c>
      <c r="E38" s="882">
        <v>3487111.7279500673</v>
      </c>
      <c r="F38" s="883">
        <v>16389503.138080001</v>
      </c>
      <c r="G38" s="316">
        <v>-15133397.219264206</v>
      </c>
      <c r="H38" s="882">
        <v>-15133397.219264206</v>
      </c>
      <c r="I38" s="823">
        <v>-15133397.219264206</v>
      </c>
      <c r="J38" s="317">
        <v>-25238949.415221825</v>
      </c>
      <c r="K38" s="316">
        <v>-33973128.215097122</v>
      </c>
      <c r="L38" s="882">
        <v>-42513760.957520664</v>
      </c>
    </row>
    <row r="39" spans="1:16" s="625" customFormat="1" ht="11.25" customHeight="1" x14ac:dyDescent="0.25">
      <c r="A39" s="995" t="s">
        <v>986</v>
      </c>
      <c r="B39" s="996"/>
      <c r="C39" s="998"/>
      <c r="D39" s="998"/>
      <c r="E39" s="998"/>
      <c r="F39" s="998"/>
      <c r="G39" s="998"/>
      <c r="H39" s="998"/>
      <c r="I39" s="998"/>
      <c r="J39" s="998"/>
      <c r="K39" s="998"/>
      <c r="L39" s="998"/>
      <c r="M39" s="148"/>
      <c r="N39" s="148"/>
      <c r="O39" s="148"/>
      <c r="P39" s="148"/>
    </row>
    <row r="40" spans="1:16" s="625" customFormat="1" ht="11.25" customHeight="1" x14ac:dyDescent="0.25">
      <c r="A40" s="962" t="s">
        <v>1130</v>
      </c>
      <c r="B40" s="996"/>
      <c r="C40" s="998"/>
      <c r="D40" s="998"/>
      <c r="E40" s="998"/>
      <c r="F40" s="998"/>
      <c r="G40" s="998"/>
      <c r="H40" s="998"/>
      <c r="I40" s="998"/>
      <c r="J40" s="998"/>
      <c r="K40" s="998"/>
      <c r="L40" s="998"/>
      <c r="M40" s="148"/>
      <c r="N40" s="148"/>
      <c r="O40" s="148"/>
      <c r="P40" s="148"/>
    </row>
    <row r="41" spans="1:16" s="625" customFormat="1" ht="11.25" customHeight="1" x14ac:dyDescent="0.25">
      <c r="A41" s="962" t="s">
        <v>941</v>
      </c>
      <c r="B41" s="996"/>
      <c r="C41" s="997"/>
      <c r="D41" s="997"/>
      <c r="E41" s="998"/>
      <c r="F41" s="998"/>
      <c r="G41" s="998"/>
      <c r="H41" s="998"/>
      <c r="I41" s="998"/>
      <c r="J41" s="998"/>
      <c r="K41" s="998"/>
      <c r="L41" s="998"/>
      <c r="N41" s="148"/>
      <c r="O41" s="148"/>
      <c r="P41" s="148"/>
    </row>
    <row r="42" spans="1:16" ht="11.25" customHeight="1" x14ac:dyDescent="0.25">
      <c r="A42" s="1011"/>
      <c r="B42" s="961"/>
      <c r="C42" s="1014"/>
      <c r="D42" s="1014"/>
      <c r="E42" s="2105"/>
      <c r="F42" s="2086"/>
      <c r="G42" s="2086"/>
      <c r="H42" s="2086"/>
      <c r="I42" s="2086"/>
      <c r="J42" s="2086"/>
      <c r="K42" s="2086"/>
      <c r="L42" s="2086"/>
    </row>
    <row r="43" spans="1:16" ht="11.25" customHeight="1" x14ac:dyDescent="0.25">
      <c r="A43" s="1012" t="s">
        <v>622</v>
      </c>
      <c r="B43" s="996"/>
      <c r="C43" s="855">
        <v>59172574.367332608</v>
      </c>
      <c r="D43" s="855">
        <v>56705190.479999997</v>
      </c>
      <c r="E43" s="855">
        <v>57462596.526999995</v>
      </c>
      <c r="F43" s="855">
        <v>47863639.746880002</v>
      </c>
      <c r="G43" s="855">
        <v>59109296.719999999</v>
      </c>
      <c r="H43" s="855">
        <v>59109296.719999999</v>
      </c>
      <c r="I43" s="855">
        <v>59109296.719999999</v>
      </c>
      <c r="J43" s="855">
        <v>79509743.448484272</v>
      </c>
      <c r="K43" s="855">
        <v>84708806.910473317</v>
      </c>
      <c r="L43" s="855">
        <v>89717924.51371932</v>
      </c>
    </row>
    <row r="44" spans="1:16" ht="11.25" customHeight="1" x14ac:dyDescent="0.25">
      <c r="A44" s="1012" t="s">
        <v>266</v>
      </c>
      <c r="B44" s="996"/>
      <c r="C44" s="855">
        <v>-63339867.277332596</v>
      </c>
      <c r="D44" s="855">
        <v>-51224398.571527891</v>
      </c>
      <c r="E44" s="855">
        <v>-58629202.627263486</v>
      </c>
      <c r="F44" s="855">
        <v>-43664136.608800001</v>
      </c>
      <c r="G44" s="855">
        <v>-77494344.577214271</v>
      </c>
      <c r="H44" s="855">
        <v>-77494344.577214271</v>
      </c>
      <c r="I44" s="855">
        <v>-77494344.577214271</v>
      </c>
      <c r="J44" s="855">
        <v>-89331596.355036154</v>
      </c>
      <c r="K44" s="855">
        <v>-93158205.103693351</v>
      </c>
      <c r="L44" s="855">
        <v>-97974301.371339843</v>
      </c>
    </row>
    <row r="45" spans="1:16" ht="11.25" customHeight="1" x14ac:dyDescent="0.25">
      <c r="A45" s="1012"/>
      <c r="B45" s="996"/>
      <c r="C45" s="855">
        <v>-4167292.909999989</v>
      </c>
      <c r="D45" s="855">
        <v>5480791.9084721059</v>
      </c>
      <c r="E45" s="855">
        <v>-1166606.1002634913</v>
      </c>
      <c r="F45" s="855">
        <v>4199503.1380800009</v>
      </c>
      <c r="G45" s="855">
        <v>-18385047.857214272</v>
      </c>
      <c r="H45" s="855">
        <v>-18385047.857214272</v>
      </c>
      <c r="I45" s="855">
        <v>-18385047.857214272</v>
      </c>
      <c r="J45" s="855">
        <v>-9821852.9065518826</v>
      </c>
      <c r="K45" s="855">
        <v>-8449398.1932200342</v>
      </c>
      <c r="L45" s="855">
        <v>-8256376.8576205224</v>
      </c>
    </row>
    <row r="46" spans="1:16" ht="11.25" customHeight="1" x14ac:dyDescent="0.25">
      <c r="A46" s="1012" t="s">
        <v>344</v>
      </c>
      <c r="B46" s="620"/>
      <c r="C46" s="855">
        <v>-154698.52000000008</v>
      </c>
      <c r="D46" s="855">
        <v>774288.17999999993</v>
      </c>
      <c r="E46" s="855">
        <v>-18368</v>
      </c>
      <c r="F46" s="855">
        <v>173000</v>
      </c>
      <c r="G46" s="855">
        <v>9412.8600000000151</v>
      </c>
      <c r="H46" s="855">
        <v>9412.8600000000151</v>
      </c>
      <c r="I46" s="855">
        <v>9412.8600000000151</v>
      </c>
      <c r="J46" s="855">
        <v>-48189.429799999984</v>
      </c>
      <c r="K46" s="855">
        <v>-76544.589885999972</v>
      </c>
      <c r="L46" s="855">
        <v>-80672.711178019992</v>
      </c>
    </row>
    <row r="47" spans="1:16" ht="11.25" customHeight="1" x14ac:dyDescent="0.25">
      <c r="A47" s="1012" t="s">
        <v>834</v>
      </c>
      <c r="B47" s="620"/>
      <c r="C47" s="855">
        <v>-390960.19000000018</v>
      </c>
      <c r="D47" s="855">
        <v>-169023.1102585576</v>
      </c>
      <c r="E47" s="855">
        <v>-197566</v>
      </c>
      <c r="F47" s="855">
        <v>-1889000</v>
      </c>
      <c r="G47" s="855">
        <v>-244873.94999999995</v>
      </c>
      <c r="H47" s="855">
        <v>-244873.94999999995</v>
      </c>
      <c r="I47" s="855">
        <v>-244873.94999999995</v>
      </c>
      <c r="J47" s="855">
        <v>-235509.85960573898</v>
      </c>
      <c r="K47" s="855">
        <v>-208236.01676926101</v>
      </c>
      <c r="L47" s="855">
        <v>-203583.173625</v>
      </c>
    </row>
    <row r="48" spans="1:16" ht="11.25" customHeight="1" x14ac:dyDescent="0.25">
      <c r="A48" s="623"/>
      <c r="B48" s="620"/>
      <c r="C48" s="855">
        <v>-4712951.6199999899</v>
      </c>
      <c r="D48" s="855">
        <v>6086056.9782135477</v>
      </c>
      <c r="E48" s="855">
        <v>-1382540.1002634913</v>
      </c>
      <c r="F48" s="855">
        <v>2483503.1380800009</v>
      </c>
      <c r="G48" s="855">
        <v>-18620508.947214272</v>
      </c>
      <c r="H48" s="855">
        <v>-18620508.947214272</v>
      </c>
      <c r="I48" s="855">
        <v>-18620508.947214272</v>
      </c>
      <c r="J48" s="855">
        <v>-10105552.195957622</v>
      </c>
      <c r="K48" s="855">
        <v>-8734178.7998752948</v>
      </c>
      <c r="L48" s="855">
        <v>-8540632.7424235418</v>
      </c>
    </row>
    <row r="49" spans="1:12" ht="11.25" customHeight="1" x14ac:dyDescent="0.25">
      <c r="A49" s="623"/>
      <c r="B49" s="620"/>
      <c r="C49" s="1188">
        <v>0</v>
      </c>
      <c r="D49" s="1188">
        <v>0</v>
      </c>
      <c r="E49" s="1188">
        <v>0</v>
      </c>
      <c r="F49" s="1188">
        <v>0</v>
      </c>
      <c r="G49" s="1188">
        <v>0</v>
      </c>
      <c r="H49" s="1188">
        <v>0</v>
      </c>
      <c r="I49" s="1188">
        <v>0</v>
      </c>
      <c r="J49" s="1188">
        <v>0</v>
      </c>
      <c r="K49" s="1188">
        <v>0</v>
      </c>
      <c r="L49" s="1188">
        <v>0</v>
      </c>
    </row>
    <row r="50" spans="1:12" ht="11.25" customHeight="1" x14ac:dyDescent="0.25"/>
    <row r="51" spans="1:12" ht="11.25" customHeight="1" x14ac:dyDescent="0.25">
      <c r="J51" s="1916">
        <v>-25238947.1452672</v>
      </c>
      <c r="K51" s="1916">
        <v>-33973125.9451425</v>
      </c>
      <c r="L51" s="1916">
        <v>-42513758.68756602</v>
      </c>
    </row>
    <row r="52" spans="1:12" ht="11.25" customHeight="1" x14ac:dyDescent="0.25">
      <c r="J52" s="1916">
        <v>-2.2699546255171299</v>
      </c>
      <c r="K52" s="1916">
        <v>-2.2699546217918396</v>
      </c>
      <c r="L52" s="1916">
        <v>-2.2699546441435814</v>
      </c>
    </row>
    <row r="53" spans="1:12" ht="11.25" customHeight="1" x14ac:dyDescent="0.25"/>
    <row r="54" spans="1:12" ht="11.25" customHeight="1" x14ac:dyDescent="0.25"/>
    <row r="55" spans="1:12" ht="11.25" customHeight="1" x14ac:dyDescent="0.25"/>
    <row r="56" spans="1:12" ht="11.25" customHeight="1" x14ac:dyDescent="0.25"/>
    <row r="57" spans="1:12" ht="11.25" customHeight="1" x14ac:dyDescent="0.25"/>
    <row r="58" spans="1:12" ht="11.25" customHeight="1" x14ac:dyDescent="0.25"/>
    <row r="59" spans="1:12" ht="11.25" customHeight="1" x14ac:dyDescent="0.25"/>
    <row r="60" spans="1:12" ht="11.25" customHeight="1" x14ac:dyDescent="0.25"/>
    <row r="61" spans="1:12" ht="11.25" customHeight="1" x14ac:dyDescent="0.25"/>
    <row r="62" spans="1:12" ht="11.25" customHeight="1" x14ac:dyDescent="0.25"/>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sheetData>
  <mergeCells count="2">
    <mergeCell ref="J2:L2"/>
    <mergeCell ref="F2:I2"/>
  </mergeCells>
  <phoneticPr fontId="4" type="noConversion"/>
  <pageMargins left="0.75" right="0.75" top="1" bottom="1" header="0.5" footer="0.5"/>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tabColor indexed="44"/>
    <pageSetUpPr fitToPage="1"/>
  </sheetPr>
  <dimension ref="A1:N98"/>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8" width="9.28515625" style="148" customWidth="1"/>
    <col min="9" max="9" width="9.140625" style="148" customWidth="1"/>
    <col min="10" max="12" width="9.28515625" style="14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tr">
        <f>muni&amp;" - "&amp;Approve8</f>
        <v>NC071 Ubuntu - Table A8 Cash backed reserves/accumulated surplus reconciliation</v>
      </c>
      <c r="B1" s="146"/>
      <c r="C1" s="146"/>
      <c r="D1" s="146"/>
      <c r="E1" s="146"/>
      <c r="F1" s="146"/>
      <c r="G1" s="146"/>
      <c r="H1" s="146"/>
      <c r="I1" s="146"/>
      <c r="J1" s="146"/>
      <c r="K1" s="146"/>
      <c r="L1" s="146"/>
    </row>
    <row r="2" spans="1:12" ht="28.5" customHeight="1" x14ac:dyDescent="0.25">
      <c r="A2" s="784" t="str">
        <f>desc</f>
        <v>Description</v>
      </c>
      <c r="B2" s="379" t="str">
        <f>head27</f>
        <v>Ref</v>
      </c>
      <c r="C2" s="149" t="str">
        <f>head1b</f>
        <v>2008/9</v>
      </c>
      <c r="D2" s="149" t="str">
        <f>head1A</f>
        <v>2009/10</v>
      </c>
      <c r="E2" s="145" t="str">
        <f>Head1</f>
        <v>2010/11</v>
      </c>
      <c r="F2" s="2700" t="str">
        <f>Head2</f>
        <v>Current Year 2011/12</v>
      </c>
      <c r="G2" s="2701"/>
      <c r="H2" s="2701"/>
      <c r="I2" s="2701"/>
      <c r="J2" s="2697" t="str">
        <f>Head3</f>
        <v>2012/13 Medium Term Revenue &amp; Expenditure Framework</v>
      </c>
      <c r="K2" s="2698"/>
      <c r="L2" s="2699"/>
    </row>
    <row r="3" spans="1:12" ht="25.5" x14ac:dyDescent="0.25">
      <c r="A3" s="179" t="s">
        <v>667</v>
      </c>
      <c r="B3" s="791"/>
      <c r="C3" s="353" t="str">
        <f>Head5</f>
        <v>Audited Outcome</v>
      </c>
      <c r="D3" s="353" t="str">
        <f>Head5</f>
        <v>Audited Outcome</v>
      </c>
      <c r="E3" s="354" t="str">
        <f>Head5</f>
        <v>Audited Outcome</v>
      </c>
      <c r="F3" s="283" t="str">
        <f>Head6</f>
        <v>Original Budget</v>
      </c>
      <c r="G3" s="353" t="str">
        <f>Head7</f>
        <v>Adjusted Budget</v>
      </c>
      <c r="H3" s="354" t="str">
        <f>Head8</f>
        <v>Full Year Forecast</v>
      </c>
      <c r="I3" s="352" t="str">
        <f>Head5b</f>
        <v>Pre-audit outcome</v>
      </c>
      <c r="J3" s="283" t="str">
        <f>Head9</f>
        <v>Budget Year 2012/13</v>
      </c>
      <c r="K3" s="353" t="str">
        <f>Head10</f>
        <v>Budget Year +1 2013/14</v>
      </c>
      <c r="L3" s="354" t="str">
        <f>Head11</f>
        <v>Budget Year +2 2014/15</v>
      </c>
    </row>
    <row r="4" spans="1:12" x14ac:dyDescent="0.25">
      <c r="A4" s="244" t="s">
        <v>1218</v>
      </c>
      <c r="B4" s="318"/>
      <c r="C4" s="205"/>
      <c r="D4" s="205"/>
      <c r="E4" s="256"/>
      <c r="F4" s="246"/>
      <c r="G4" s="205"/>
      <c r="H4" s="256"/>
      <c r="I4" s="208"/>
      <c r="J4" s="319"/>
      <c r="K4" s="205"/>
      <c r="L4" s="256"/>
    </row>
    <row r="5" spans="1:12" ht="11.25" customHeight="1" x14ac:dyDescent="0.25">
      <c r="A5" s="245" t="str">
        <f>LEFT('A7-CFlow'!A38,37)</f>
        <v>Cash/cash equivalents at the year end</v>
      </c>
      <c r="B5" s="318">
        <v>1</v>
      </c>
      <c r="C5" s="205">
        <f>'A7-CFlow'!C38</f>
        <v>-1216405.1499999901</v>
      </c>
      <c r="D5" s="205">
        <f>'A7-CFlow'!D38</f>
        <v>4869651.8282135585</v>
      </c>
      <c r="E5" s="256">
        <f>'A7-CFlow'!E38</f>
        <v>3487111.7279500673</v>
      </c>
      <c r="F5" s="246">
        <f>'A7-CFlow'!F38</f>
        <v>16389503.138080001</v>
      </c>
      <c r="G5" s="205">
        <f>'A7-CFlow'!G38</f>
        <v>-15133397.219264206</v>
      </c>
      <c r="H5" s="256">
        <f>'A7-CFlow'!H38</f>
        <v>-15133397.219264206</v>
      </c>
      <c r="I5" s="208">
        <f>'A7-CFlow'!I38</f>
        <v>-15133397.219264206</v>
      </c>
      <c r="J5" s="209">
        <f>'A7-CFlow'!J38</f>
        <v>-25238949.415221825</v>
      </c>
      <c r="K5" s="205">
        <f>'A7-CFlow'!K38</f>
        <v>-33973128.215097122</v>
      </c>
      <c r="L5" s="256">
        <f>'A7-CFlow'!L38</f>
        <v>-42513760.957520664</v>
      </c>
    </row>
    <row r="6" spans="1:12" ht="11.25" customHeight="1" x14ac:dyDescent="0.25">
      <c r="A6" s="189" t="s">
        <v>1570</v>
      </c>
      <c r="B6" s="318"/>
      <c r="C6" s="205">
        <f>'A6-FinPos'!C6+'A6-FinPos'!C7-'A6-FinPos'!C29-'A8-ResRecon'!C5</f>
        <v>-9.7788870334625244E-9</v>
      </c>
      <c r="D6" s="205">
        <f>'A6-FinPos'!D6+'A6-FinPos'!D7-'A6-FinPos'!D29-'A8-ResRecon'!D5</f>
        <v>1.1717864414677024</v>
      </c>
      <c r="E6" s="256">
        <f>'A6-FinPos'!E6+'A6-FinPos'!E7-'A6-FinPos'!E29-'A8-ResRecon'!E5</f>
        <v>2.2720499327406287</v>
      </c>
      <c r="F6" s="246">
        <f>'A6-FinPos'!F6+'A6-FinPos'!F7-'A6-FinPos'!F29-'A8-ResRecon'!F5</f>
        <v>-7422903.7750799954</v>
      </c>
      <c r="G6" s="205">
        <f>'A6-FinPos'!G6+'A6-FinPos'!G7-'A6-FinPos'!G29-'A8-ResRecon'!G5</f>
        <v>2.2699546050280333</v>
      </c>
      <c r="H6" s="256">
        <f>'A6-FinPos'!H6+'A6-FinPos'!H7-'A6-FinPos'!H29-'A8-ResRecon'!H5</f>
        <v>2.2699545808136463</v>
      </c>
      <c r="I6" s="208">
        <f>'A6-FinPos'!I6+'A6-FinPos'!I7-'A6-FinPos'!I29-'A8-ResRecon'!I5</f>
        <v>2.2699545808136463</v>
      </c>
      <c r="J6" s="209">
        <f>'A6-FinPos'!J6+'A6-FinPos'!J7-'A6-FinPos'!J29-'A8-ResRecon'!J5</f>
        <v>2.2699546255171299</v>
      </c>
      <c r="K6" s="205">
        <f>'A6-FinPos'!K6+'A6-FinPos'!K7-'A6-FinPos'!K29-'A8-ResRecon'!K5</f>
        <v>2.2699546217918396</v>
      </c>
      <c r="L6" s="256">
        <f>'A6-FinPos'!L6+'A6-FinPos'!L7-'A6-FinPos'!L29-'A8-ResRecon'!L5</f>
        <v>2.2699546441435814</v>
      </c>
    </row>
    <row r="7" spans="1:12" ht="11.25" customHeight="1" x14ac:dyDescent="0.25">
      <c r="A7" s="245" t="str">
        <f>'A6-FinPos'!A14&amp;" - "&amp;'A6-FinPos'!A16</f>
        <v>Non current assets - Investments</v>
      </c>
      <c r="B7" s="318">
        <v>1</v>
      </c>
      <c r="C7" s="205">
        <f>'A6-FinPos'!C16</f>
        <v>1968253</v>
      </c>
      <c r="D7" s="205">
        <f>'A6-FinPos'!D16</f>
        <v>1400772</v>
      </c>
      <c r="E7" s="256">
        <f>'A6-FinPos'!E16</f>
        <v>1425170</v>
      </c>
      <c r="F7" s="252">
        <f>'A6-FinPos'!F16</f>
        <v>1400772</v>
      </c>
      <c r="G7" s="251">
        <f>'A6-FinPos'!G16</f>
        <v>1425170</v>
      </c>
      <c r="H7" s="254">
        <f>'A6-FinPos'!H16</f>
        <v>1425170</v>
      </c>
      <c r="I7" s="208">
        <f>'A6-FinPos'!I16</f>
        <v>1425170</v>
      </c>
      <c r="J7" s="255">
        <f>'A6-FinPos'!J16</f>
        <v>1485000</v>
      </c>
      <c r="K7" s="251">
        <f>'A6-FinPos'!K16</f>
        <v>1574000</v>
      </c>
      <c r="L7" s="254">
        <f>'A6-FinPos'!L16</f>
        <v>1668000</v>
      </c>
    </row>
    <row r="8" spans="1:12" ht="11.25" customHeight="1" x14ac:dyDescent="0.25">
      <c r="A8" s="644" t="s">
        <v>1219</v>
      </c>
      <c r="B8" s="653"/>
      <c r="C8" s="654">
        <f>SUM(C5:C7)</f>
        <v>751847.85000000009</v>
      </c>
      <c r="D8" s="654">
        <f t="shared" ref="D8:L8" si="0">SUM(D5:D7)</f>
        <v>6270425</v>
      </c>
      <c r="E8" s="655">
        <f t="shared" si="0"/>
        <v>4912284</v>
      </c>
      <c r="F8" s="656">
        <f t="shared" si="0"/>
        <v>10367371.363000005</v>
      </c>
      <c r="G8" s="654">
        <f t="shared" si="0"/>
        <v>-13708224.949309601</v>
      </c>
      <c r="H8" s="655">
        <f t="shared" si="0"/>
        <v>-13708224.949309625</v>
      </c>
      <c r="I8" s="657">
        <f t="shared" si="0"/>
        <v>-13708224.949309625</v>
      </c>
      <c r="J8" s="881">
        <f t="shared" si="0"/>
        <v>-23753947.1452672</v>
      </c>
      <c r="K8" s="654">
        <f t="shared" si="0"/>
        <v>-32399125.9451425</v>
      </c>
      <c r="L8" s="655">
        <f t="shared" si="0"/>
        <v>-40845758.68756602</v>
      </c>
    </row>
    <row r="9" spans="1:12" ht="5.0999999999999996" customHeight="1" x14ac:dyDescent="0.25">
      <c r="A9" s="265"/>
      <c r="B9" s="318"/>
      <c r="C9" s="205"/>
      <c r="D9" s="205"/>
      <c r="E9" s="256"/>
      <c r="F9" s="246"/>
      <c r="G9" s="205"/>
      <c r="H9" s="256"/>
      <c r="I9" s="208"/>
      <c r="J9" s="209"/>
      <c r="K9" s="205"/>
      <c r="L9" s="256"/>
    </row>
    <row r="10" spans="1:12" ht="11.25" customHeight="1" x14ac:dyDescent="0.25">
      <c r="A10" s="244" t="s">
        <v>1131</v>
      </c>
      <c r="B10" s="318"/>
      <c r="C10" s="205"/>
      <c r="D10" s="205"/>
      <c r="E10" s="256"/>
      <c r="F10" s="246"/>
      <c r="G10" s="205"/>
      <c r="H10" s="256"/>
      <c r="I10" s="208"/>
      <c r="J10" s="209"/>
      <c r="K10" s="205"/>
      <c r="L10" s="256"/>
    </row>
    <row r="11" spans="1:12" ht="11.25" customHeight="1" x14ac:dyDescent="0.25">
      <c r="A11" s="245" t="str">
        <f>'SA3'!A36</f>
        <v>Unspent conditional transfers</v>
      </c>
      <c r="B11" s="318"/>
      <c r="C11" s="251">
        <f>'SA3'!C36</f>
        <v>609342.25999999966</v>
      </c>
      <c r="D11" s="205">
        <f>'SA3'!D36</f>
        <v>3184584</v>
      </c>
      <c r="E11" s="256">
        <f>'SA3'!E36</f>
        <v>4266700</v>
      </c>
      <c r="F11" s="246">
        <f>'SA3'!F36</f>
        <v>0</v>
      </c>
      <c r="G11" s="205">
        <f>'SA3'!G36</f>
        <v>4266700</v>
      </c>
      <c r="H11" s="256">
        <f>'SA3'!H36</f>
        <v>4266700</v>
      </c>
      <c r="I11" s="208">
        <f>'SA3'!I36</f>
        <v>4266700</v>
      </c>
      <c r="J11" s="209">
        <f>'SA3'!J36</f>
        <v>4266700</v>
      </c>
      <c r="K11" s="205">
        <f>'SA3'!K36</f>
        <v>4266700</v>
      </c>
      <c r="L11" s="256">
        <f>'SA3'!L36</f>
        <v>4266700</v>
      </c>
    </row>
    <row r="12" spans="1:12" ht="11.25" customHeight="1" x14ac:dyDescent="0.25">
      <c r="A12" s="245" t="s">
        <v>156</v>
      </c>
      <c r="B12" s="318"/>
      <c r="C12" s="1185">
        <f>'SA17'!C67</f>
        <v>0</v>
      </c>
      <c r="D12" s="1185">
        <f>'SA17'!D67</f>
        <v>0</v>
      </c>
      <c r="E12" s="1186">
        <f>'SA17'!E67</f>
        <v>0</v>
      </c>
      <c r="F12" s="1187">
        <f>'SA17'!F67</f>
        <v>0</v>
      </c>
      <c r="G12" s="1185">
        <f>'SA17'!G67</f>
        <v>0</v>
      </c>
      <c r="H12" s="1186">
        <f>'SA17'!H67</f>
        <v>0</v>
      </c>
      <c r="I12" s="1786"/>
      <c r="J12" s="1189">
        <f>'SA17'!I67</f>
        <v>0</v>
      </c>
      <c r="K12" s="1185">
        <f>'SA17'!J67</f>
        <v>0</v>
      </c>
      <c r="L12" s="1186">
        <f>'SA17'!K67</f>
        <v>0</v>
      </c>
    </row>
    <row r="13" spans="1:12" ht="11.25" customHeight="1" x14ac:dyDescent="0.25">
      <c r="A13" s="245" t="s">
        <v>1132</v>
      </c>
      <c r="B13" s="318">
        <v>2</v>
      </c>
      <c r="C13" s="1331"/>
      <c r="D13" s="1331"/>
      <c r="E13" s="1332"/>
      <c r="F13" s="1333"/>
      <c r="G13" s="1331"/>
      <c r="H13" s="1332"/>
      <c r="I13" s="1334"/>
      <c r="J13" s="1335"/>
      <c r="K13" s="1331"/>
      <c r="L13" s="1332"/>
    </row>
    <row r="14" spans="1:12" ht="11.25" customHeight="1" x14ac:dyDescent="0.25">
      <c r="A14" s="245" t="s">
        <v>397</v>
      </c>
      <c r="B14" s="318">
        <v>3</v>
      </c>
      <c r="C14" s="205">
        <f>-C32</f>
        <v>-20924804.699999999</v>
      </c>
      <c r="D14" s="205">
        <f t="shared" ref="D14:L14" si="1">-D32</f>
        <v>2497057.6500000004</v>
      </c>
      <c r="E14" s="256">
        <f t="shared" si="1"/>
        <v>4100473.6500000004</v>
      </c>
      <c r="F14" s="246">
        <f>-F32</f>
        <v>-783030.21999999974</v>
      </c>
      <c r="G14" s="205">
        <f t="shared" si="1"/>
        <v>5549786.2785000009</v>
      </c>
      <c r="H14" s="256">
        <f t="shared" si="1"/>
        <v>5549786.2785000009</v>
      </c>
      <c r="I14" s="208">
        <f t="shared" si="1"/>
        <v>5549786.2785000009</v>
      </c>
      <c r="J14" s="209">
        <f t="shared" si="1"/>
        <v>5806001.3179950016</v>
      </c>
      <c r="K14" s="205">
        <f t="shared" si="1"/>
        <v>6214951.4102546517</v>
      </c>
      <c r="L14" s="256">
        <f t="shared" si="1"/>
        <v>6358068.0089724772</v>
      </c>
    </row>
    <row r="15" spans="1:12" ht="11.25" customHeight="1" x14ac:dyDescent="0.25">
      <c r="A15" s="245" t="s">
        <v>587</v>
      </c>
      <c r="B15" s="318"/>
      <c r="C15" s="1331"/>
      <c r="D15" s="1331"/>
      <c r="E15" s="1332"/>
      <c r="F15" s="1333"/>
      <c r="G15" s="1331"/>
      <c r="H15" s="1332"/>
      <c r="I15" s="1334"/>
      <c r="J15" s="1335"/>
      <c r="K15" s="1331"/>
      <c r="L15" s="1332"/>
    </row>
    <row r="16" spans="1:12" ht="11.25" customHeight="1" x14ac:dyDescent="0.25">
      <c r="A16" s="245" t="s">
        <v>398</v>
      </c>
      <c r="B16" s="318">
        <v>4</v>
      </c>
      <c r="C16" s="205">
        <f>C52</f>
        <v>0</v>
      </c>
      <c r="D16" s="205">
        <f t="shared" ref="D16:L16" si="2">D52</f>
        <v>0</v>
      </c>
      <c r="E16" s="256">
        <f t="shared" si="2"/>
        <v>0</v>
      </c>
      <c r="F16" s="252">
        <f t="shared" si="2"/>
        <v>0</v>
      </c>
      <c r="G16" s="251">
        <f t="shared" si="2"/>
        <v>0</v>
      </c>
      <c r="H16" s="254">
        <f t="shared" si="2"/>
        <v>0</v>
      </c>
      <c r="I16" s="253">
        <f t="shared" si="2"/>
        <v>0</v>
      </c>
      <c r="J16" s="255">
        <f t="shared" si="2"/>
        <v>0</v>
      </c>
      <c r="K16" s="251">
        <f t="shared" si="2"/>
        <v>0</v>
      </c>
      <c r="L16" s="254">
        <f t="shared" si="2"/>
        <v>0</v>
      </c>
    </row>
    <row r="17" spans="1:14" ht="11.25" customHeight="1" x14ac:dyDescent="0.25">
      <c r="A17" s="245" t="s">
        <v>1220</v>
      </c>
      <c r="B17" s="318">
        <v>5</v>
      </c>
      <c r="C17" s="1318">
        <f>C67</f>
        <v>1059287</v>
      </c>
      <c r="D17" s="1318">
        <f t="shared" ref="D17:L17" si="3">D67</f>
        <v>1059287</v>
      </c>
      <c r="E17" s="1328">
        <f t="shared" si="3"/>
        <v>1059287</v>
      </c>
      <c r="F17" s="1329">
        <f t="shared" si="3"/>
        <v>1425000</v>
      </c>
      <c r="G17" s="1318">
        <f t="shared" si="3"/>
        <v>1059287</v>
      </c>
      <c r="H17" s="1328">
        <f t="shared" si="3"/>
        <v>1059287</v>
      </c>
      <c r="I17" s="1330">
        <f t="shared" si="3"/>
        <v>1059287</v>
      </c>
      <c r="J17" s="1320">
        <f t="shared" si="3"/>
        <v>1059287</v>
      </c>
      <c r="K17" s="1318">
        <f t="shared" si="3"/>
        <v>1059287</v>
      </c>
      <c r="L17" s="1328">
        <f t="shared" si="3"/>
        <v>1059287</v>
      </c>
    </row>
    <row r="18" spans="1:14" ht="11.25" customHeight="1" x14ac:dyDescent="0.25">
      <c r="A18" s="644" t="str">
        <f>"Total "&amp;A10&amp;":"</f>
        <v>Total Application of cash and investments:</v>
      </c>
      <c r="B18" s="653"/>
      <c r="C18" s="654">
        <f>SUM(C11:C17)</f>
        <v>-19256175.440000001</v>
      </c>
      <c r="D18" s="654">
        <f t="shared" ref="D18:L18" si="4">SUM(D11:D17)</f>
        <v>6740928.6500000004</v>
      </c>
      <c r="E18" s="655">
        <f t="shared" si="4"/>
        <v>9426460.6500000004</v>
      </c>
      <c r="F18" s="656">
        <f t="shared" si="4"/>
        <v>641969.78000000026</v>
      </c>
      <c r="G18" s="654">
        <f t="shared" si="4"/>
        <v>10875773.278500002</v>
      </c>
      <c r="H18" s="655">
        <f t="shared" si="4"/>
        <v>10875773.278500002</v>
      </c>
      <c r="I18" s="657">
        <f t="shared" si="4"/>
        <v>10875773.278500002</v>
      </c>
      <c r="J18" s="881">
        <f t="shared" si="4"/>
        <v>11131988.317995001</v>
      </c>
      <c r="K18" s="654">
        <f t="shared" si="4"/>
        <v>11540938.410254652</v>
      </c>
      <c r="L18" s="655">
        <f t="shared" si="4"/>
        <v>11684055.008972477</v>
      </c>
      <c r="N18" s="323"/>
    </row>
    <row r="19" spans="1:14" ht="11.25" customHeight="1" x14ac:dyDescent="0.25">
      <c r="A19" s="360" t="s">
        <v>292</v>
      </c>
      <c r="B19" s="361"/>
      <c r="C19" s="316">
        <f>C8-C18</f>
        <v>20008023.290000003</v>
      </c>
      <c r="D19" s="316">
        <f t="shared" ref="D19:L19" si="5">D8-D18</f>
        <v>-470503.65000000037</v>
      </c>
      <c r="E19" s="882">
        <f t="shared" si="5"/>
        <v>-4514176.6500000004</v>
      </c>
      <c r="F19" s="883">
        <f t="shared" si="5"/>
        <v>9725401.5830000043</v>
      </c>
      <c r="G19" s="316">
        <f t="shared" si="5"/>
        <v>-24583998.227809601</v>
      </c>
      <c r="H19" s="882">
        <f t="shared" si="5"/>
        <v>-24583998.227809627</v>
      </c>
      <c r="I19" s="823">
        <f t="shared" si="5"/>
        <v>-24583998.227809627</v>
      </c>
      <c r="J19" s="317">
        <f t="shared" si="5"/>
        <v>-34885935.4632622</v>
      </c>
      <c r="K19" s="316">
        <f t="shared" si="5"/>
        <v>-43940064.35539715</v>
      </c>
      <c r="L19" s="882">
        <f t="shared" si="5"/>
        <v>-52529813.696538493</v>
      </c>
      <c r="N19" s="323"/>
    </row>
    <row r="20" spans="1:14" ht="11.25" customHeight="1" x14ac:dyDescent="0.25">
      <c r="A20" s="324" t="str">
        <f>head27a</f>
        <v>References</v>
      </c>
      <c r="B20" s="148"/>
      <c r="C20" s="291"/>
      <c r="D20" s="291"/>
      <c r="E20" s="291"/>
      <c r="F20" s="291"/>
      <c r="G20" s="291"/>
      <c r="H20" s="291"/>
      <c r="I20" s="291"/>
      <c r="J20" s="291"/>
      <c r="K20" s="291"/>
      <c r="L20" s="291"/>
    </row>
    <row r="21" spans="1:14" ht="11.25" customHeight="1" x14ac:dyDescent="0.25">
      <c r="A21" s="325" t="s">
        <v>1492</v>
      </c>
      <c r="B21" s="148"/>
    </row>
    <row r="22" spans="1:14" ht="11.25" customHeight="1" x14ac:dyDescent="0.25">
      <c r="A22" s="325" t="s">
        <v>1133</v>
      </c>
      <c r="B22" s="148"/>
    </row>
    <row r="23" spans="1:14" ht="11.25" customHeight="1" x14ac:dyDescent="0.25">
      <c r="A23" s="325" t="s">
        <v>298</v>
      </c>
      <c r="B23" s="148"/>
    </row>
    <row r="24" spans="1:14" ht="11.25" customHeight="1" x14ac:dyDescent="0.25">
      <c r="A24" s="325" t="s">
        <v>301</v>
      </c>
      <c r="B24" s="148"/>
    </row>
    <row r="25" spans="1:14" ht="11.25" customHeight="1" x14ac:dyDescent="0.25">
      <c r="A25" s="325" t="s">
        <v>300</v>
      </c>
      <c r="B25" s="148"/>
    </row>
    <row r="26" spans="1:14" ht="6" customHeight="1" x14ac:dyDescent="0.25">
      <c r="B26" s="148"/>
    </row>
    <row r="27" spans="1:14" ht="11.25" customHeight="1" x14ac:dyDescent="0.25">
      <c r="A27" s="326"/>
      <c r="B27" s="148"/>
      <c r="C27" s="359"/>
      <c r="D27" s="359"/>
      <c r="E27" s="359"/>
      <c r="F27" s="359"/>
      <c r="G27" s="359"/>
      <c r="H27" s="359"/>
      <c r="I27" s="359"/>
      <c r="J27" s="359"/>
      <c r="K27" s="359"/>
      <c r="L27" s="359"/>
    </row>
    <row r="28" spans="1:14" ht="11.25" customHeight="1" x14ac:dyDescent="0.25">
      <c r="A28" s="327" t="s">
        <v>397</v>
      </c>
      <c r="B28" s="148"/>
      <c r="C28" s="359"/>
      <c r="D28" s="359"/>
      <c r="E28" s="359"/>
      <c r="F28" s="359"/>
      <c r="G28" s="359"/>
      <c r="H28" s="359"/>
      <c r="I28" s="359"/>
      <c r="J28" s="359"/>
      <c r="K28" s="359"/>
      <c r="L28" s="359"/>
    </row>
    <row r="29" spans="1:14" ht="11.25" customHeight="1" x14ac:dyDescent="0.25">
      <c r="A29" s="328" t="s">
        <v>2244</v>
      </c>
      <c r="B29" s="148"/>
      <c r="C29" s="855">
        <f>IF(ISERROR(ROUND(C35*C36,-3)),0,(ROUND(C35*C36,-3)))</f>
        <v>22589000</v>
      </c>
      <c r="D29" s="855">
        <f t="shared" ref="D29:L29" si="6">IF(ISERROR(ROUND(D35*D36,-3)),0,(ROUND(D35*D36,-3)))</f>
        <v>4098000</v>
      </c>
      <c r="E29" s="855">
        <f t="shared" si="6"/>
        <v>2403000</v>
      </c>
      <c r="F29" s="855">
        <f t="shared" si="6"/>
        <v>8174000</v>
      </c>
      <c r="G29" s="855">
        <f t="shared" si="6"/>
        <v>1539000</v>
      </c>
      <c r="H29" s="855">
        <f t="shared" si="6"/>
        <v>1539000</v>
      </c>
      <c r="I29" s="855">
        <f t="shared" si="6"/>
        <v>1539000</v>
      </c>
      <c r="J29" s="855">
        <f t="shared" si="6"/>
        <v>1779000</v>
      </c>
      <c r="K29" s="855">
        <f t="shared" si="6"/>
        <v>1901000</v>
      </c>
      <c r="L29" s="855">
        <f t="shared" si="6"/>
        <v>2326000</v>
      </c>
    </row>
    <row r="30" spans="1:14" s="338" customFormat="1" ht="3" customHeight="1" x14ac:dyDescent="0.25">
      <c r="A30" s="328"/>
      <c r="C30" s="855"/>
      <c r="D30" s="855"/>
      <c r="E30" s="855"/>
      <c r="F30" s="855"/>
      <c r="G30" s="855"/>
      <c r="H30" s="855"/>
      <c r="I30" s="855"/>
      <c r="J30" s="855"/>
      <c r="K30" s="855"/>
      <c r="L30" s="855"/>
    </row>
    <row r="31" spans="1:14" ht="11.25" customHeight="1" x14ac:dyDescent="0.25">
      <c r="A31" s="328" t="s">
        <v>2239</v>
      </c>
      <c r="B31" s="148"/>
      <c r="C31" s="855">
        <f>'SA3'!C35</f>
        <v>1664195.3</v>
      </c>
      <c r="D31" s="855">
        <f>'SA3'!D35</f>
        <v>6595057.6500000004</v>
      </c>
      <c r="E31" s="855">
        <f>'SA3'!E35</f>
        <v>6503473.6500000004</v>
      </c>
      <c r="F31" s="855">
        <f>'SA3'!F35</f>
        <v>7390969.7800000003</v>
      </c>
      <c r="G31" s="855">
        <f>'SA3'!G35</f>
        <v>7088786.2785000009</v>
      </c>
      <c r="H31" s="855">
        <f>'SA3'!H35</f>
        <v>7088786.2785000009</v>
      </c>
      <c r="I31" s="855">
        <f>'SA3'!I35</f>
        <v>7088786.2785000009</v>
      </c>
      <c r="J31" s="855">
        <f>'SA3'!J35</f>
        <v>7585001.3179950016</v>
      </c>
      <c r="K31" s="855">
        <f>'SA3'!K35</f>
        <v>8115951.4102546517</v>
      </c>
      <c r="L31" s="855">
        <f>'SA3'!L35</f>
        <v>8684068.0089724772</v>
      </c>
    </row>
    <row r="32" spans="1:14" ht="11.25" customHeight="1" x14ac:dyDescent="0.25">
      <c r="A32" s="328" t="s">
        <v>776</v>
      </c>
      <c r="B32" s="148"/>
      <c r="C32" s="1934">
        <f>C29-C31</f>
        <v>20924804.699999999</v>
      </c>
      <c r="D32" s="1934">
        <f t="shared" ref="D32:L32" si="7">D29-D31</f>
        <v>-2497057.6500000004</v>
      </c>
      <c r="E32" s="1934">
        <f t="shared" si="7"/>
        <v>-4100473.6500000004</v>
      </c>
      <c r="F32" s="1934">
        <f t="shared" si="7"/>
        <v>783030.21999999974</v>
      </c>
      <c r="G32" s="1934">
        <f t="shared" si="7"/>
        <v>-5549786.2785000009</v>
      </c>
      <c r="H32" s="1934">
        <f t="shared" si="7"/>
        <v>-5549786.2785000009</v>
      </c>
      <c r="I32" s="1934">
        <f t="shared" si="7"/>
        <v>-5549786.2785000009</v>
      </c>
      <c r="J32" s="1934">
        <f t="shared" si="7"/>
        <v>-5806001.3179950016</v>
      </c>
      <c r="K32" s="1934">
        <f t="shared" si="7"/>
        <v>-6214951.4102546517</v>
      </c>
      <c r="L32" s="1934">
        <f t="shared" si="7"/>
        <v>-6358068.0089724772</v>
      </c>
    </row>
    <row r="33" spans="1:12" ht="6" customHeight="1" x14ac:dyDescent="0.25">
      <c r="B33" s="148"/>
      <c r="C33" s="208"/>
      <c r="D33" s="208"/>
      <c r="E33" s="208"/>
      <c r="F33" s="208"/>
      <c r="G33" s="208"/>
      <c r="H33" s="208"/>
      <c r="I33" s="208"/>
      <c r="J33" s="208"/>
      <c r="K33" s="208"/>
      <c r="L33" s="208"/>
    </row>
    <row r="34" spans="1:12" ht="11.25" customHeight="1" x14ac:dyDescent="0.25">
      <c r="A34" s="327" t="s">
        <v>2233</v>
      </c>
      <c r="B34" s="148"/>
      <c r="C34" s="1916"/>
      <c r="D34" s="1916"/>
      <c r="E34" s="1916"/>
      <c r="F34" s="1916"/>
      <c r="G34" s="1916"/>
      <c r="H34" s="1916"/>
      <c r="I34" s="1916"/>
      <c r="J34" s="1916"/>
      <c r="K34" s="1916"/>
      <c r="L34" s="1916"/>
    </row>
    <row r="35" spans="1:12" ht="11.25" customHeight="1" x14ac:dyDescent="0.25">
      <c r="A35" s="328" t="s">
        <v>2237</v>
      </c>
      <c r="B35" s="148"/>
      <c r="C35" s="208">
        <f>'A6-FinPos'!C8+'A6-FinPos'!C9+'A6-FinPos'!C15</f>
        <v>13204542</v>
      </c>
      <c r="D35" s="208">
        <f>'A6-FinPos'!D8+'A6-FinPos'!D9+'A6-FinPos'!D15</f>
        <v>5648493</v>
      </c>
      <c r="E35" s="208">
        <f>'A6-FinPos'!E8+'A6-FinPos'!E9+'A6-FinPos'!E15</f>
        <v>2488898.0699999998</v>
      </c>
      <c r="F35" s="208">
        <f>'A6-FinPos'!F8+'A6-FinPos'!F9+'A6-FinPos'!F15</f>
        <v>14010976.82</v>
      </c>
      <c r="G35" s="208">
        <f>'A6-FinPos'!G8+'A6-FinPos'!G9+'A6-FinPos'!G15</f>
        <v>1953853.350000001</v>
      </c>
      <c r="H35" s="208">
        <f>'A6-FinPos'!H8+'A6-FinPos'!H9+'A6-FinPos'!H15</f>
        <v>1953853.350000001</v>
      </c>
      <c r="I35" s="208">
        <f>'A6-FinPos'!I8+'A6-FinPos'!I9+'A6-FinPos'!I15</f>
        <v>1953853.350000001</v>
      </c>
      <c r="J35" s="208">
        <f>'A6-FinPos'!J8+'A6-FinPos'!J9+'A6-FinPos'!J15</f>
        <v>1976975.5040000002</v>
      </c>
      <c r="K35" s="208">
        <f>'A6-FinPos'!K8+'A6-FinPos'!K9+'A6-FinPos'!K15</f>
        <v>2118106.13216</v>
      </c>
      <c r="L35" s="208">
        <f>'A6-FinPos'!L8+'A6-FinPos'!L9+'A6-FinPos'!L15</f>
        <v>2609055.4033920015</v>
      </c>
    </row>
    <row r="36" spans="1:12" ht="11.25" customHeight="1" x14ac:dyDescent="0.25">
      <c r="A36" s="328" t="s">
        <v>2238</v>
      </c>
      <c r="B36" s="148"/>
      <c r="C36" s="1917">
        <f>IF(ISERROR('SA10'!D10),0,('SA10'!D10))</f>
        <v>1.7106700613500503</v>
      </c>
      <c r="D36" s="1917">
        <f>IF(ISERROR('SA10'!E10),0,('SA10'!E10))</f>
        <v>0.72548356396748914</v>
      </c>
      <c r="E36" s="1917">
        <f>IF(ISERROR('SA10'!F10),0,('SA10'!F10))</f>
        <v>0.96548912717845858</v>
      </c>
      <c r="F36" s="1917">
        <f>IF(ISERROR('SA10'!G10),0,('SA10'!G10))</f>
        <v>0.5834104800771811</v>
      </c>
      <c r="G36" s="1917">
        <f>IF(ISERROR('SA10'!H10),0,('SA10'!H10))</f>
        <v>0.78747057389211195</v>
      </c>
      <c r="H36" s="1917">
        <f>IF(ISERROR('SA10'!I10),0,('SA10'!I10))</f>
        <v>0.78747057389211195</v>
      </c>
      <c r="I36" s="1917">
        <f>IF(ISERROR('SA10'!J10),0,('SA10'!J10))</f>
        <v>0.78747057389211195</v>
      </c>
      <c r="J36" s="1917">
        <f>IF(ISERROR('SA10'!K10),0,('SA10'!K10))</f>
        <v>0.89966902977074503</v>
      </c>
      <c r="K36" s="1917">
        <f>IF(ISERROR('SA10'!L10),0,('SA10'!L10))</f>
        <v>0.89746010081268601</v>
      </c>
      <c r="L36" s="1917">
        <f>IF(ISERROR('SA10'!M10),0,('SA10'!M10))</f>
        <v>0.89136052666143684</v>
      </c>
    </row>
    <row r="37" spans="1:12" s="338" customFormat="1" ht="3" customHeight="1" x14ac:dyDescent="0.25">
      <c r="A37" s="328"/>
      <c r="C37" s="208"/>
      <c r="D37" s="208"/>
      <c r="E37" s="208"/>
      <c r="F37" s="208"/>
      <c r="G37" s="208"/>
      <c r="H37" s="208"/>
      <c r="I37" s="208"/>
      <c r="J37" s="208"/>
      <c r="K37" s="208"/>
      <c r="L37" s="208"/>
    </row>
    <row r="38" spans="1:12" s="338" customFormat="1" ht="3" customHeight="1" x14ac:dyDescent="0.25">
      <c r="A38" s="328"/>
      <c r="C38" s="1918"/>
      <c r="D38" s="1917"/>
      <c r="E38" s="1917"/>
      <c r="F38" s="1917"/>
      <c r="G38" s="1917"/>
      <c r="H38" s="1917"/>
      <c r="I38" s="1917"/>
      <c r="J38" s="1917"/>
      <c r="K38" s="1917"/>
      <c r="L38" s="1917"/>
    </row>
    <row r="39" spans="1:12" ht="11.25" customHeight="1" x14ac:dyDescent="0.25">
      <c r="B39" s="148"/>
      <c r="C39" s="338"/>
      <c r="D39" s="338"/>
      <c r="E39" s="338"/>
      <c r="F39" s="338"/>
      <c r="G39" s="338"/>
      <c r="H39" s="338"/>
      <c r="I39" s="338"/>
      <c r="J39" s="338"/>
      <c r="K39" s="338" t="s">
        <v>2235</v>
      </c>
      <c r="L39" s="338"/>
    </row>
    <row r="40" spans="1:12" ht="11.25" customHeight="1" x14ac:dyDescent="0.25">
      <c r="A40" s="403" t="str">
        <f>A16</f>
        <v>Long term investments committed</v>
      </c>
      <c r="B40" s="148"/>
      <c r="I40" s="331"/>
    </row>
    <row r="41" spans="1:12" ht="11.25" customHeight="1" x14ac:dyDescent="0.25">
      <c r="A41" s="1341" t="s">
        <v>955</v>
      </c>
      <c r="B41" s="148"/>
      <c r="C41" s="1330"/>
      <c r="D41" s="1330"/>
      <c r="E41" s="1330"/>
      <c r="F41" s="1330"/>
      <c r="G41" s="1330"/>
      <c r="H41" s="1330"/>
      <c r="I41" s="1330"/>
      <c r="J41" s="1330"/>
      <c r="K41" s="1330"/>
      <c r="L41" s="1330"/>
    </row>
    <row r="42" spans="1:12" ht="11.25" customHeight="1" x14ac:dyDescent="0.25">
      <c r="A42" s="1342"/>
      <c r="B42" s="148"/>
      <c r="C42" s="1330"/>
      <c r="D42" s="1330"/>
      <c r="E42" s="1330"/>
      <c r="F42" s="1330"/>
      <c r="G42" s="1330"/>
      <c r="H42" s="1330"/>
      <c r="I42" s="1330"/>
      <c r="J42" s="1330"/>
      <c r="K42" s="1330"/>
      <c r="L42" s="1330"/>
    </row>
    <row r="43" spans="1:12" ht="11.25" customHeight="1" x14ac:dyDescent="0.25">
      <c r="A43" s="1342"/>
      <c r="B43" s="148"/>
      <c r="C43" s="1330"/>
      <c r="D43" s="1330"/>
      <c r="E43" s="1330"/>
      <c r="F43" s="1330"/>
      <c r="G43" s="1330"/>
      <c r="H43" s="1330"/>
      <c r="I43" s="1330"/>
      <c r="J43" s="1330"/>
      <c r="K43" s="1330"/>
      <c r="L43" s="1330"/>
    </row>
    <row r="44" spans="1:12" ht="11.25" customHeight="1" x14ac:dyDescent="0.25">
      <c r="A44" s="1342"/>
      <c r="B44" s="148"/>
      <c r="C44" s="1330"/>
      <c r="D44" s="1330"/>
      <c r="E44" s="1330"/>
      <c r="F44" s="1330"/>
      <c r="G44" s="1330"/>
      <c r="H44" s="1330"/>
      <c r="I44" s="1330"/>
      <c r="J44" s="1330"/>
      <c r="K44" s="1330"/>
      <c r="L44" s="1330"/>
    </row>
    <row r="45" spans="1:12" ht="11.25" customHeight="1" x14ac:dyDescent="0.25">
      <c r="A45" s="1342"/>
      <c r="B45" s="148"/>
      <c r="C45" s="1330"/>
      <c r="D45" s="1330"/>
      <c r="E45" s="1330"/>
      <c r="F45" s="1330"/>
      <c r="G45" s="1330"/>
      <c r="H45" s="1330"/>
      <c r="I45" s="1330"/>
      <c r="J45" s="1330"/>
      <c r="K45" s="1330"/>
      <c r="L45" s="1330"/>
    </row>
    <row r="46" spans="1:12" ht="11.25" customHeight="1" x14ac:dyDescent="0.25">
      <c r="A46" s="1342"/>
      <c r="B46" s="148"/>
      <c r="C46" s="1330"/>
      <c r="D46" s="1330"/>
      <c r="E46" s="1330"/>
      <c r="F46" s="1330"/>
      <c r="G46" s="1330"/>
      <c r="H46" s="1330"/>
      <c r="I46" s="1330"/>
      <c r="J46" s="1330"/>
      <c r="K46" s="1330"/>
      <c r="L46" s="1330"/>
    </row>
    <row r="47" spans="1:12" ht="11.25" customHeight="1" x14ac:dyDescent="0.25">
      <c r="A47" s="1342"/>
      <c r="B47" s="148"/>
      <c r="C47" s="1330"/>
      <c r="D47" s="1330"/>
      <c r="E47" s="1330"/>
      <c r="F47" s="1330"/>
      <c r="G47" s="1330"/>
      <c r="H47" s="1330"/>
      <c r="I47" s="1330"/>
      <c r="J47" s="1330"/>
      <c r="K47" s="1330"/>
      <c r="L47" s="1330"/>
    </row>
    <row r="48" spans="1:12" ht="11.25" customHeight="1" x14ac:dyDescent="0.25">
      <c r="A48" s="1342"/>
      <c r="B48" s="148"/>
      <c r="C48" s="1330"/>
      <c r="D48" s="1330"/>
      <c r="E48" s="1330"/>
      <c r="F48" s="1330"/>
      <c r="G48" s="1330"/>
      <c r="H48" s="1330"/>
      <c r="I48" s="1330"/>
      <c r="J48" s="1330"/>
      <c r="K48" s="1330"/>
      <c r="L48" s="1330"/>
    </row>
    <row r="49" spans="1:12" ht="11.25" customHeight="1" x14ac:dyDescent="0.25">
      <c r="A49" s="1342"/>
      <c r="B49" s="148"/>
      <c r="C49" s="1330"/>
      <c r="D49" s="1330"/>
      <c r="E49" s="1330"/>
      <c r="F49" s="1330"/>
      <c r="G49" s="1330"/>
      <c r="H49" s="1330"/>
      <c r="I49" s="1330"/>
      <c r="J49" s="1330"/>
      <c r="K49" s="1330"/>
      <c r="L49" s="1330"/>
    </row>
    <row r="50" spans="1:12" ht="11.25" customHeight="1" x14ac:dyDescent="0.25">
      <c r="A50" s="1342"/>
      <c r="B50" s="148"/>
      <c r="C50" s="1330"/>
      <c r="D50" s="1330"/>
      <c r="E50" s="1330"/>
      <c r="F50" s="1330"/>
      <c r="G50" s="1330"/>
      <c r="H50" s="1330"/>
      <c r="I50" s="1330"/>
      <c r="J50" s="1330"/>
      <c r="K50" s="1330"/>
      <c r="L50" s="1330"/>
    </row>
    <row r="51" spans="1:12" ht="11.25" customHeight="1" x14ac:dyDescent="0.25">
      <c r="A51" s="1342"/>
      <c r="B51" s="148"/>
      <c r="C51" s="1330"/>
      <c r="D51" s="1330"/>
      <c r="E51" s="1330"/>
      <c r="F51" s="1330"/>
      <c r="G51" s="1330"/>
      <c r="H51" s="1330"/>
      <c r="I51" s="1330"/>
      <c r="J51" s="1330"/>
      <c r="K51" s="1330"/>
      <c r="L51" s="1330"/>
    </row>
    <row r="52" spans="1:12" ht="11.25" customHeight="1" thickBot="1" x14ac:dyDescent="0.3">
      <c r="A52" s="403"/>
      <c r="B52" s="148"/>
      <c r="C52" s="329">
        <f>SUM(C41:C51)</f>
        <v>0</v>
      </c>
      <c r="D52" s="329">
        <f t="shared" ref="D52:L52" si="8">SUM(D41:D51)</f>
        <v>0</v>
      </c>
      <c r="E52" s="329">
        <f t="shared" si="8"/>
        <v>0</v>
      </c>
      <c r="F52" s="329">
        <f t="shared" si="8"/>
        <v>0</v>
      </c>
      <c r="G52" s="329">
        <f t="shared" si="8"/>
        <v>0</v>
      </c>
      <c r="H52" s="329">
        <f t="shared" si="8"/>
        <v>0</v>
      </c>
      <c r="I52" s="329">
        <f t="shared" si="8"/>
        <v>0</v>
      </c>
      <c r="J52" s="329">
        <f t="shared" si="8"/>
        <v>0</v>
      </c>
      <c r="K52" s="329">
        <f t="shared" si="8"/>
        <v>0</v>
      </c>
      <c r="L52" s="329">
        <f t="shared" si="8"/>
        <v>0</v>
      </c>
    </row>
    <row r="53" spans="1:12" ht="11.25" customHeight="1" thickTop="1" x14ac:dyDescent="0.25">
      <c r="A53" s="403" t="str">
        <f>A17</f>
        <v>Reserves to be backed by cash/investments</v>
      </c>
      <c r="B53" s="148"/>
      <c r="I53" s="331"/>
    </row>
    <row r="54" spans="1:12" ht="11.25" customHeight="1" x14ac:dyDescent="0.25">
      <c r="A54" s="148" t="str">
        <f>'SA3'!A64</f>
        <v>Housing Development Fund</v>
      </c>
      <c r="B54" s="148"/>
      <c r="C54" s="208">
        <f>'SA3'!C64</f>
        <v>0</v>
      </c>
      <c r="D54" s="208">
        <f>'SA3'!D64</f>
        <v>0</v>
      </c>
      <c r="E54" s="208">
        <f>'SA3'!E64</f>
        <v>0</v>
      </c>
      <c r="F54" s="208">
        <f>'SA3'!F64</f>
        <v>0</v>
      </c>
      <c r="G54" s="208">
        <f>'SA3'!G64</f>
        <v>0</v>
      </c>
      <c r="H54" s="208">
        <f>'SA3'!H64</f>
        <v>0</v>
      </c>
      <c r="I54" s="208">
        <f>'SA3'!I64</f>
        <v>0</v>
      </c>
      <c r="J54" s="208">
        <f>'SA3'!J64</f>
        <v>0</v>
      </c>
      <c r="K54" s="208">
        <f>'SA3'!K64</f>
        <v>0</v>
      </c>
      <c r="L54" s="208">
        <f>'SA3'!L64</f>
        <v>0</v>
      </c>
    </row>
    <row r="55" spans="1:12" ht="11.25" customHeight="1" x14ac:dyDescent="0.25">
      <c r="A55" s="148" t="str">
        <f>'SA3'!A65</f>
        <v>Capital replacement</v>
      </c>
      <c r="B55" s="148"/>
      <c r="C55" s="1330">
        <f>'SA3'!C65</f>
        <v>1059287</v>
      </c>
      <c r="D55" s="1330">
        <f>'SA3'!D65</f>
        <v>1059287</v>
      </c>
      <c r="E55" s="1330">
        <f>'SA3'!E65</f>
        <v>1059287</v>
      </c>
      <c r="F55" s="1330">
        <f>'SA3'!F65</f>
        <v>1425000</v>
      </c>
      <c r="G55" s="1330">
        <f>'SA3'!G65</f>
        <v>1059287</v>
      </c>
      <c r="H55" s="1330">
        <f>'SA3'!H65</f>
        <v>1059287</v>
      </c>
      <c r="I55" s="1330">
        <f>'SA3'!I65</f>
        <v>1059287</v>
      </c>
      <c r="J55" s="1330">
        <f>'SA3'!J65</f>
        <v>1059287</v>
      </c>
      <c r="K55" s="1330">
        <f>'SA3'!K65</f>
        <v>1059287</v>
      </c>
      <c r="L55" s="1330">
        <f>'SA3'!L65</f>
        <v>1059287</v>
      </c>
    </row>
    <row r="56" spans="1:12" ht="11.25" customHeight="1" x14ac:dyDescent="0.25">
      <c r="A56" s="148" t="str">
        <f>'SA3'!A66</f>
        <v>Self-insurance</v>
      </c>
      <c r="B56" s="148"/>
      <c r="C56" s="1330"/>
      <c r="D56" s="1330"/>
      <c r="E56" s="1330"/>
      <c r="F56" s="1330"/>
      <c r="G56" s="1330"/>
      <c r="H56" s="1330"/>
      <c r="I56" s="1330"/>
      <c r="J56" s="1330"/>
      <c r="K56" s="1330"/>
      <c r="L56" s="1330"/>
    </row>
    <row r="57" spans="1:12" ht="11.25" customHeight="1" x14ac:dyDescent="0.25">
      <c r="A57" s="1341" t="s">
        <v>1412</v>
      </c>
      <c r="B57" s="873"/>
      <c r="C57" s="1330"/>
      <c r="D57" s="1330"/>
      <c r="E57" s="1330"/>
      <c r="F57" s="1330"/>
      <c r="G57" s="1330"/>
      <c r="H57" s="1330"/>
      <c r="I57" s="1330"/>
      <c r="J57" s="1330"/>
      <c r="K57" s="1330"/>
      <c r="L57" s="1330"/>
    </row>
    <row r="58" spans="1:12" ht="11.25" customHeight="1" x14ac:dyDescent="0.25">
      <c r="A58" s="1341"/>
      <c r="B58" s="338"/>
      <c r="C58" s="1330"/>
      <c r="D58" s="1330"/>
      <c r="E58" s="1330"/>
      <c r="F58" s="1330"/>
      <c r="G58" s="1330"/>
      <c r="H58" s="1330"/>
      <c r="I58" s="1330"/>
      <c r="J58" s="1330"/>
      <c r="K58" s="1330"/>
      <c r="L58" s="1330"/>
    </row>
    <row r="59" spans="1:12" ht="11.25" customHeight="1" x14ac:dyDescent="0.25">
      <c r="A59" s="1341"/>
      <c r="B59" s="338"/>
      <c r="C59" s="1330"/>
      <c r="D59" s="1330"/>
      <c r="E59" s="1330"/>
      <c r="F59" s="1330"/>
      <c r="G59" s="1330"/>
      <c r="H59" s="1330"/>
      <c r="I59" s="1330"/>
      <c r="J59" s="1330"/>
      <c r="K59" s="1330"/>
      <c r="L59" s="1330"/>
    </row>
    <row r="60" spans="1:12" ht="11.25" customHeight="1" x14ac:dyDescent="0.25">
      <c r="A60" s="1341"/>
      <c r="B60" s="338"/>
      <c r="C60" s="1330"/>
      <c r="D60" s="1330"/>
      <c r="E60" s="1330"/>
      <c r="F60" s="1330"/>
      <c r="G60" s="1330"/>
      <c r="H60" s="1330"/>
      <c r="I60" s="1330"/>
      <c r="J60" s="1330"/>
      <c r="K60" s="1330"/>
      <c r="L60" s="1330"/>
    </row>
    <row r="61" spans="1:12" ht="11.25" customHeight="1" x14ac:dyDescent="0.25">
      <c r="A61" s="1341"/>
      <c r="B61" s="338"/>
      <c r="C61" s="1330"/>
      <c r="D61" s="1330"/>
      <c r="E61" s="1330"/>
      <c r="F61" s="1330"/>
      <c r="G61" s="1330"/>
      <c r="H61" s="1330"/>
      <c r="I61" s="1330"/>
      <c r="J61" s="1330"/>
      <c r="K61" s="1330"/>
      <c r="L61" s="1330"/>
    </row>
    <row r="62" spans="1:12" ht="11.25" customHeight="1" x14ac:dyDescent="0.25">
      <c r="A62" s="1341"/>
      <c r="B62" s="338"/>
      <c r="C62" s="1330"/>
      <c r="D62" s="1330"/>
      <c r="E62" s="1330"/>
      <c r="F62" s="1330"/>
      <c r="G62" s="1330"/>
      <c r="H62" s="1330"/>
      <c r="I62" s="1330"/>
      <c r="J62" s="1330"/>
      <c r="K62" s="1330"/>
      <c r="L62" s="1330"/>
    </row>
    <row r="63" spans="1:12" ht="11.25" customHeight="1" x14ac:dyDescent="0.25">
      <c r="A63" s="1341"/>
      <c r="B63" s="338"/>
      <c r="C63" s="1330"/>
      <c r="D63" s="1330"/>
      <c r="E63" s="1330"/>
      <c r="F63" s="1330"/>
      <c r="G63" s="1330"/>
      <c r="H63" s="1330"/>
      <c r="I63" s="1330"/>
      <c r="J63" s="1330"/>
      <c r="K63" s="1330"/>
      <c r="L63" s="1330"/>
    </row>
    <row r="64" spans="1:12" ht="11.25" customHeight="1" x14ac:dyDescent="0.25">
      <c r="A64" s="1341"/>
      <c r="B64" s="338"/>
      <c r="C64" s="1330"/>
      <c r="D64" s="1330"/>
      <c r="E64" s="1330"/>
      <c r="F64" s="1330"/>
      <c r="G64" s="1330"/>
      <c r="H64" s="1330"/>
      <c r="I64" s="1330"/>
      <c r="J64" s="1330"/>
      <c r="K64" s="1330"/>
      <c r="L64" s="1330"/>
    </row>
    <row r="65" spans="1:12" ht="11.25" customHeight="1" x14ac:dyDescent="0.25">
      <c r="A65" s="1341"/>
      <c r="B65" s="338"/>
      <c r="C65" s="1330"/>
      <c r="D65" s="1330"/>
      <c r="E65" s="1330"/>
      <c r="F65" s="1330"/>
      <c r="G65" s="1330"/>
      <c r="H65" s="1330"/>
      <c r="I65" s="1330"/>
      <c r="J65" s="1330"/>
      <c r="K65" s="1330"/>
      <c r="L65" s="1330"/>
    </row>
    <row r="67" spans="1:12" ht="11.25" customHeight="1" thickBot="1" x14ac:dyDescent="0.3">
      <c r="B67" s="148"/>
      <c r="C67" s="329">
        <f t="shared" ref="C67:L67" si="9">SUM(C54:C65)</f>
        <v>1059287</v>
      </c>
      <c r="D67" s="329">
        <f t="shared" si="9"/>
        <v>1059287</v>
      </c>
      <c r="E67" s="329">
        <f t="shared" si="9"/>
        <v>1059287</v>
      </c>
      <c r="F67" s="329">
        <f t="shared" si="9"/>
        <v>1425000</v>
      </c>
      <c r="G67" s="329">
        <f t="shared" si="9"/>
        <v>1059287</v>
      </c>
      <c r="H67" s="329">
        <f t="shared" si="9"/>
        <v>1059287</v>
      </c>
      <c r="I67" s="329">
        <f t="shared" si="9"/>
        <v>1059287</v>
      </c>
      <c r="J67" s="329">
        <f t="shared" si="9"/>
        <v>1059287</v>
      </c>
      <c r="K67" s="329">
        <f t="shared" si="9"/>
        <v>1059287</v>
      </c>
      <c r="L67" s="329">
        <f t="shared" si="9"/>
        <v>1059287</v>
      </c>
    </row>
    <row r="68" spans="1:12" ht="11.25" customHeight="1" thickTop="1" x14ac:dyDescent="0.25">
      <c r="B68" s="148"/>
    </row>
    <row r="69" spans="1:12" ht="11.25" customHeight="1" x14ac:dyDescent="0.25">
      <c r="B69" s="148"/>
    </row>
    <row r="70" spans="1:12" ht="11.25" customHeight="1" x14ac:dyDescent="0.25">
      <c r="B70" s="148"/>
    </row>
    <row r="71" spans="1:12" ht="11.25" customHeight="1" x14ac:dyDescent="0.25">
      <c r="B71" s="148"/>
    </row>
    <row r="72" spans="1:12" ht="11.25" customHeight="1" x14ac:dyDescent="0.25">
      <c r="B72" s="148"/>
    </row>
    <row r="73" spans="1:12" ht="11.25" customHeight="1" x14ac:dyDescent="0.25">
      <c r="B73" s="148"/>
    </row>
    <row r="74" spans="1:12" ht="11.25" customHeight="1" x14ac:dyDescent="0.25">
      <c r="B74" s="148"/>
    </row>
    <row r="75" spans="1:12" ht="11.25" customHeight="1" x14ac:dyDescent="0.25">
      <c r="B75" s="148"/>
    </row>
    <row r="76" spans="1:12" ht="11.25" customHeight="1" x14ac:dyDescent="0.25">
      <c r="B76" s="148"/>
    </row>
    <row r="77" spans="1:12" ht="11.25" customHeight="1" x14ac:dyDescent="0.25"/>
    <row r="78" spans="1:12" ht="11.25" customHeight="1" x14ac:dyDescent="0.25"/>
    <row r="79" spans="1:12" ht="11.25" customHeight="1" x14ac:dyDescent="0.25"/>
    <row r="80" spans="1:12"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sheetData>
  <sheetProtection password="C646" sheet="1" objects="1" scenarios="1"/>
  <mergeCells count="2">
    <mergeCell ref="J2:L2"/>
    <mergeCell ref="F2:I2"/>
  </mergeCells>
  <phoneticPr fontId="4" type="noConversion"/>
  <dataValidations count="1">
    <dataValidation type="decimal" allowBlank="1" showInputMessage="1" showErrorMessage="1" sqref="C12:L13 C15:L15 C17:L17 C55:L65 C38 C41:L51 C29:L31">
      <formula1>-99999999999999900000</formula1>
      <formula2>99999999999999900000</formula2>
    </dataValidation>
  </dataValidations>
  <pageMargins left="0.75" right="0.75" top="1" bottom="1" header="0.5" footer="0.5"/>
  <pageSetup scale="7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tabColor indexed="44"/>
    <pageSetUpPr fitToPage="1"/>
  </sheetPr>
  <dimension ref="A1:K128"/>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1.4257812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s="178" customFormat="1" x14ac:dyDescent="0.2">
      <c r="A1" s="146" t="s">
        <v>2501</v>
      </c>
      <c r="B1" s="146"/>
      <c r="C1" s="1997"/>
      <c r="D1" s="1997"/>
      <c r="E1" s="1997"/>
      <c r="F1" s="1997"/>
      <c r="G1" s="1997"/>
      <c r="H1" s="1997"/>
      <c r="I1" s="1997"/>
      <c r="J1" s="1997"/>
      <c r="K1" s="1997"/>
    </row>
    <row r="2" spans="1:11" ht="28.5" customHeight="1" x14ac:dyDescent="0.25">
      <c r="A2" s="784" t="s">
        <v>775</v>
      </c>
      <c r="B2" s="379" t="s">
        <v>429</v>
      </c>
      <c r="C2" s="149" t="s">
        <v>2478</v>
      </c>
      <c r="D2" s="149" t="s">
        <v>2479</v>
      </c>
      <c r="E2" s="1996" t="s">
        <v>2480</v>
      </c>
      <c r="F2" s="2700" t="s">
        <v>2481</v>
      </c>
      <c r="G2" s="2701"/>
      <c r="H2" s="2705"/>
      <c r="I2" s="2697" t="s">
        <v>2482</v>
      </c>
      <c r="J2" s="2698"/>
      <c r="K2" s="2699"/>
    </row>
    <row r="3" spans="1:11" ht="25.5" x14ac:dyDescent="0.25">
      <c r="A3" s="1152" t="s">
        <v>667</v>
      </c>
      <c r="B3" s="791"/>
      <c r="C3" s="2009" t="s">
        <v>1065</v>
      </c>
      <c r="D3" s="2009" t="s">
        <v>1065</v>
      </c>
      <c r="E3" s="354" t="s">
        <v>1065</v>
      </c>
      <c r="F3" s="2004" t="s">
        <v>467</v>
      </c>
      <c r="G3" s="2009" t="s">
        <v>1807</v>
      </c>
      <c r="H3" s="354" t="s">
        <v>1808</v>
      </c>
      <c r="I3" s="2004" t="s">
        <v>2483</v>
      </c>
      <c r="J3" s="2009" t="s">
        <v>2484</v>
      </c>
      <c r="K3" s="354" t="s">
        <v>2485</v>
      </c>
    </row>
    <row r="4" spans="1:11" ht="11.25" customHeight="1" x14ac:dyDescent="0.25">
      <c r="A4" s="1253" t="s">
        <v>1434</v>
      </c>
      <c r="B4" s="181"/>
      <c r="C4" s="357"/>
      <c r="D4" s="357"/>
      <c r="E4" s="313"/>
      <c r="F4" s="358"/>
      <c r="G4" s="357"/>
      <c r="H4" s="359"/>
      <c r="I4" s="1190"/>
      <c r="J4" s="357"/>
      <c r="K4" s="313"/>
    </row>
    <row r="5" spans="1:11" ht="11.25" customHeight="1" x14ac:dyDescent="0.25">
      <c r="A5" s="1254" t="s">
        <v>1075</v>
      </c>
      <c r="B5" s="181">
        <v>1</v>
      </c>
      <c r="C5" s="357">
        <v>16811861</v>
      </c>
      <c r="D5" s="357">
        <v>15704226.939999999</v>
      </c>
      <c r="E5" s="313">
        <v>6146772.8300000001</v>
      </c>
      <c r="F5" s="358">
        <v>0</v>
      </c>
      <c r="G5" s="357">
        <v>9780000</v>
      </c>
      <c r="H5" s="359">
        <v>9780000</v>
      </c>
      <c r="I5" s="1190">
        <v>12965000</v>
      </c>
      <c r="J5" s="357">
        <v>14492300</v>
      </c>
      <c r="K5" s="313">
        <v>14477838</v>
      </c>
    </row>
    <row r="6" spans="1:11" ht="11.25" customHeight="1" x14ac:dyDescent="0.25">
      <c r="A6" s="1255" t="s">
        <v>390</v>
      </c>
      <c r="B6" s="318"/>
      <c r="C6" s="852">
        <v>908966</v>
      </c>
      <c r="D6" s="852">
        <v>1777902.52</v>
      </c>
      <c r="E6" s="853">
        <v>1967955.18</v>
      </c>
      <c r="F6" s="854">
        <v>0</v>
      </c>
      <c r="G6" s="852">
        <v>5150000</v>
      </c>
      <c r="H6" s="855">
        <v>5150000</v>
      </c>
      <c r="I6" s="856">
        <v>4613700</v>
      </c>
      <c r="J6" s="852">
        <v>7500000</v>
      </c>
      <c r="K6" s="853">
        <v>12843000</v>
      </c>
    </row>
    <row r="7" spans="1:11" ht="11.25" customHeight="1" x14ac:dyDescent="0.25">
      <c r="A7" s="1255" t="s">
        <v>752</v>
      </c>
      <c r="B7" s="318"/>
      <c r="C7" s="852">
        <v>3731593</v>
      </c>
      <c r="D7" s="852">
        <v>2415449.6499999994</v>
      </c>
      <c r="E7" s="853">
        <v>1304104.96</v>
      </c>
      <c r="F7" s="854">
        <v>0</v>
      </c>
      <c r="G7" s="852">
        <v>0</v>
      </c>
      <c r="H7" s="855">
        <v>0</v>
      </c>
      <c r="I7" s="856">
        <v>0</v>
      </c>
      <c r="J7" s="852">
        <v>0</v>
      </c>
      <c r="K7" s="853">
        <v>0</v>
      </c>
    </row>
    <row r="8" spans="1:11" ht="11.25" customHeight="1" x14ac:dyDescent="0.25">
      <c r="A8" s="1255" t="s">
        <v>391</v>
      </c>
      <c r="B8" s="318"/>
      <c r="C8" s="852">
        <v>679714</v>
      </c>
      <c r="D8" s="852">
        <v>8544098.0199999996</v>
      </c>
      <c r="E8" s="853">
        <v>1146483.99</v>
      </c>
      <c r="F8" s="854">
        <v>0</v>
      </c>
      <c r="G8" s="852">
        <v>200000</v>
      </c>
      <c r="H8" s="855">
        <v>200000</v>
      </c>
      <c r="I8" s="856">
        <v>0</v>
      </c>
      <c r="J8" s="852">
        <v>1750000</v>
      </c>
      <c r="K8" s="853">
        <v>0</v>
      </c>
    </row>
    <row r="9" spans="1:11" ht="11.25" customHeight="1" x14ac:dyDescent="0.25">
      <c r="A9" s="1255" t="s">
        <v>392</v>
      </c>
      <c r="B9" s="318"/>
      <c r="C9" s="852">
        <v>664470</v>
      </c>
      <c r="D9" s="852">
        <v>634720.67000000004</v>
      </c>
      <c r="E9" s="853">
        <v>609688.19999999995</v>
      </c>
      <c r="F9" s="854">
        <v>0</v>
      </c>
      <c r="G9" s="852">
        <v>2950000</v>
      </c>
      <c r="H9" s="855">
        <v>2950000</v>
      </c>
      <c r="I9" s="856">
        <v>0</v>
      </c>
      <c r="J9" s="852">
        <v>0</v>
      </c>
      <c r="K9" s="853">
        <v>0</v>
      </c>
    </row>
    <row r="10" spans="1:11" ht="11.25" customHeight="1" x14ac:dyDescent="0.25">
      <c r="A10" s="1255" t="s">
        <v>691</v>
      </c>
      <c r="B10" s="318"/>
      <c r="C10" s="852">
        <v>0</v>
      </c>
      <c r="D10" s="852">
        <v>0</v>
      </c>
      <c r="E10" s="853">
        <v>0</v>
      </c>
      <c r="F10" s="854">
        <v>0</v>
      </c>
      <c r="G10" s="852">
        <v>0</v>
      </c>
      <c r="H10" s="855">
        <v>0</v>
      </c>
      <c r="I10" s="856">
        <v>5336300</v>
      </c>
      <c r="J10" s="852">
        <v>3700000</v>
      </c>
      <c r="K10" s="853">
        <v>0</v>
      </c>
    </row>
    <row r="11" spans="1:11" ht="11.25" customHeight="1" x14ac:dyDescent="0.25">
      <c r="A11" s="1153" t="s">
        <v>979</v>
      </c>
      <c r="B11" s="318"/>
      <c r="C11" s="824">
        <v>5984743</v>
      </c>
      <c r="D11" s="824">
        <v>13372170.859999999</v>
      </c>
      <c r="E11" s="825">
        <v>5028232.33</v>
      </c>
      <c r="F11" s="826">
        <v>0</v>
      </c>
      <c r="G11" s="824">
        <v>8300000</v>
      </c>
      <c r="H11" s="827">
        <v>8300000</v>
      </c>
      <c r="I11" s="828">
        <v>9950000</v>
      </c>
      <c r="J11" s="824">
        <v>12950000</v>
      </c>
      <c r="K11" s="825">
        <v>12843000</v>
      </c>
    </row>
    <row r="12" spans="1:11" ht="11.25" customHeight="1" x14ac:dyDescent="0.25">
      <c r="A12" s="1154" t="s">
        <v>1575</v>
      </c>
      <c r="B12" s="181"/>
      <c r="C12" s="852">
        <v>0</v>
      </c>
      <c r="D12" s="852">
        <v>0</v>
      </c>
      <c r="E12" s="853">
        <v>0</v>
      </c>
      <c r="F12" s="854">
        <v>0</v>
      </c>
      <c r="G12" s="852">
        <v>300000</v>
      </c>
      <c r="H12" s="855">
        <v>300000</v>
      </c>
      <c r="I12" s="856">
        <v>1560000</v>
      </c>
      <c r="J12" s="852">
        <v>0</v>
      </c>
      <c r="K12" s="853">
        <v>0</v>
      </c>
    </row>
    <row r="13" spans="1:11" ht="11.25" customHeight="1" x14ac:dyDescent="0.25">
      <c r="A13" s="1154" t="s">
        <v>967</v>
      </c>
      <c r="B13" s="181"/>
      <c r="C13" s="1185">
        <v>0</v>
      </c>
      <c r="D13" s="1185">
        <v>0</v>
      </c>
      <c r="E13" s="1186">
        <v>0</v>
      </c>
      <c r="F13" s="1187">
        <v>0</v>
      </c>
      <c r="G13" s="1185">
        <v>0</v>
      </c>
      <c r="H13" s="1188">
        <v>0</v>
      </c>
      <c r="I13" s="1189">
        <v>0</v>
      </c>
      <c r="J13" s="1185">
        <v>0</v>
      </c>
      <c r="K13" s="1186">
        <v>0</v>
      </c>
    </row>
    <row r="14" spans="1:11" ht="11.25" customHeight="1" x14ac:dyDescent="0.25">
      <c r="A14" s="1154" t="s">
        <v>968</v>
      </c>
      <c r="B14" s="181"/>
      <c r="C14" s="852">
        <v>9100000</v>
      </c>
      <c r="D14" s="852">
        <v>0</v>
      </c>
      <c r="E14" s="853">
        <v>0</v>
      </c>
      <c r="F14" s="854">
        <v>0</v>
      </c>
      <c r="G14" s="852">
        <v>0</v>
      </c>
      <c r="H14" s="855">
        <v>0</v>
      </c>
      <c r="I14" s="856">
        <v>0</v>
      </c>
      <c r="J14" s="852">
        <v>0</v>
      </c>
      <c r="K14" s="853">
        <v>0</v>
      </c>
    </row>
    <row r="15" spans="1:11" ht="11.25" customHeight="1" x14ac:dyDescent="0.25">
      <c r="A15" s="1154" t="s">
        <v>969</v>
      </c>
      <c r="B15" s="181">
        <v>6</v>
      </c>
      <c r="C15" s="852">
        <v>1727118</v>
      </c>
      <c r="D15" s="852">
        <v>2287726.08</v>
      </c>
      <c r="E15" s="853">
        <v>1118540.5</v>
      </c>
      <c r="F15" s="854">
        <v>0</v>
      </c>
      <c r="G15" s="852">
        <v>1180000</v>
      </c>
      <c r="H15" s="855">
        <v>1180000</v>
      </c>
      <c r="I15" s="856">
        <v>1455000</v>
      </c>
      <c r="J15" s="852">
        <v>1542300</v>
      </c>
      <c r="K15" s="853">
        <v>1634838</v>
      </c>
    </row>
    <row r="16" spans="1:11" x14ac:dyDescent="0.25">
      <c r="A16" s="1256" t="s">
        <v>1545</v>
      </c>
      <c r="B16" s="473"/>
      <c r="C16" s="852">
        <v>0</v>
      </c>
      <c r="D16" s="852">
        <v>0</v>
      </c>
      <c r="E16" s="853">
        <v>0</v>
      </c>
      <c r="F16" s="854">
        <v>0</v>
      </c>
      <c r="G16" s="852">
        <v>0</v>
      </c>
      <c r="H16" s="855">
        <v>0</v>
      </c>
      <c r="I16" s="856">
        <v>0</v>
      </c>
      <c r="J16" s="852">
        <v>0</v>
      </c>
      <c r="K16" s="853">
        <v>0</v>
      </c>
    </row>
    <row r="17" spans="1:11" ht="11.25" customHeight="1" x14ac:dyDescent="0.25">
      <c r="A17" s="1154" t="s">
        <v>136</v>
      </c>
      <c r="B17" s="181"/>
      <c r="C17" s="852">
        <v>0</v>
      </c>
      <c r="D17" s="852">
        <v>0</v>
      </c>
      <c r="E17" s="853">
        <v>0</v>
      </c>
      <c r="F17" s="854">
        <v>0</v>
      </c>
      <c r="G17" s="852">
        <v>0</v>
      </c>
      <c r="H17" s="855">
        <v>0</v>
      </c>
      <c r="I17" s="856">
        <v>0</v>
      </c>
      <c r="J17" s="852">
        <v>0</v>
      </c>
      <c r="K17" s="853">
        <v>0</v>
      </c>
    </row>
    <row r="18" spans="1:11" ht="11.25" customHeight="1" x14ac:dyDescent="0.25">
      <c r="A18" s="1154" t="s">
        <v>884</v>
      </c>
      <c r="B18" s="181"/>
      <c r="C18" s="915">
        <v>0</v>
      </c>
      <c r="D18" s="915">
        <v>44330</v>
      </c>
      <c r="E18" s="916">
        <v>0</v>
      </c>
      <c r="F18" s="917">
        <v>0</v>
      </c>
      <c r="G18" s="915">
        <v>0</v>
      </c>
      <c r="H18" s="918">
        <v>0</v>
      </c>
      <c r="I18" s="919">
        <v>0</v>
      </c>
      <c r="J18" s="915">
        <v>0</v>
      </c>
      <c r="K18" s="916">
        <v>0</v>
      </c>
    </row>
    <row r="19" spans="1:11" ht="5.0999999999999996" customHeight="1" x14ac:dyDescent="0.25">
      <c r="A19" s="1155"/>
      <c r="B19" s="181"/>
      <c r="C19" s="205"/>
      <c r="D19" s="205"/>
      <c r="E19" s="256"/>
      <c r="F19" s="246"/>
      <c r="G19" s="205"/>
      <c r="H19" s="208"/>
      <c r="I19" s="209"/>
      <c r="J19" s="205"/>
      <c r="K19" s="256"/>
    </row>
    <row r="20" spans="1:11" ht="11.25" customHeight="1" x14ac:dyDescent="0.25">
      <c r="A20" s="1254" t="s">
        <v>442</v>
      </c>
      <c r="B20" s="181">
        <v>2</v>
      </c>
      <c r="C20" s="357">
        <v>0</v>
      </c>
      <c r="D20" s="357">
        <v>0</v>
      </c>
      <c r="E20" s="313">
        <v>0</v>
      </c>
      <c r="F20" s="358">
        <v>0</v>
      </c>
      <c r="G20" s="357">
        <v>0</v>
      </c>
      <c r="H20" s="359">
        <v>0</v>
      </c>
      <c r="I20" s="1190">
        <v>0</v>
      </c>
      <c r="J20" s="357">
        <v>0</v>
      </c>
      <c r="K20" s="313">
        <v>0</v>
      </c>
    </row>
    <row r="21" spans="1:11" ht="11.25" customHeight="1" x14ac:dyDescent="0.25">
      <c r="A21" s="1255" t="s">
        <v>390</v>
      </c>
      <c r="B21" s="318"/>
      <c r="C21" s="852">
        <v>0</v>
      </c>
      <c r="D21" s="852">
        <v>0</v>
      </c>
      <c r="E21" s="853">
        <v>0</v>
      </c>
      <c r="F21" s="854">
        <v>0</v>
      </c>
      <c r="G21" s="852">
        <v>0</v>
      </c>
      <c r="H21" s="855">
        <v>0</v>
      </c>
      <c r="I21" s="856">
        <v>0</v>
      </c>
      <c r="J21" s="852">
        <v>0</v>
      </c>
      <c r="K21" s="853">
        <v>0</v>
      </c>
    </row>
    <row r="22" spans="1:11" ht="11.25" customHeight="1" x14ac:dyDescent="0.25">
      <c r="A22" s="1255" t="s">
        <v>752</v>
      </c>
      <c r="B22" s="318"/>
      <c r="C22" s="852">
        <v>0</v>
      </c>
      <c r="D22" s="852">
        <v>0</v>
      </c>
      <c r="E22" s="853">
        <v>0</v>
      </c>
      <c r="F22" s="854">
        <v>0</v>
      </c>
      <c r="G22" s="852">
        <v>0</v>
      </c>
      <c r="H22" s="855">
        <v>0</v>
      </c>
      <c r="I22" s="856">
        <v>0</v>
      </c>
      <c r="J22" s="852">
        <v>0</v>
      </c>
      <c r="K22" s="853">
        <v>0</v>
      </c>
    </row>
    <row r="23" spans="1:11" ht="11.25" customHeight="1" x14ac:dyDescent="0.25">
      <c r="A23" s="1255" t="s">
        <v>391</v>
      </c>
      <c r="B23" s="318"/>
      <c r="C23" s="852">
        <v>0</v>
      </c>
      <c r="D23" s="852">
        <v>0</v>
      </c>
      <c r="E23" s="853">
        <v>0</v>
      </c>
      <c r="F23" s="854">
        <v>0</v>
      </c>
      <c r="G23" s="852">
        <v>0</v>
      </c>
      <c r="H23" s="855">
        <v>0</v>
      </c>
      <c r="I23" s="856">
        <v>0</v>
      </c>
      <c r="J23" s="852">
        <v>0</v>
      </c>
      <c r="K23" s="853">
        <v>0</v>
      </c>
    </row>
    <row r="24" spans="1:11" ht="11.25" customHeight="1" x14ac:dyDescent="0.25">
      <c r="A24" s="1255" t="s">
        <v>392</v>
      </c>
      <c r="B24" s="318"/>
      <c r="C24" s="852">
        <v>0</v>
      </c>
      <c r="D24" s="852">
        <v>0</v>
      </c>
      <c r="E24" s="853">
        <v>0</v>
      </c>
      <c r="F24" s="854">
        <v>0</v>
      </c>
      <c r="G24" s="852">
        <v>0</v>
      </c>
      <c r="H24" s="855">
        <v>0</v>
      </c>
      <c r="I24" s="856">
        <v>0</v>
      </c>
      <c r="J24" s="852">
        <v>0</v>
      </c>
      <c r="K24" s="853">
        <v>0</v>
      </c>
    </row>
    <row r="25" spans="1:11" ht="11.25" customHeight="1" x14ac:dyDescent="0.25">
      <c r="A25" s="1255" t="s">
        <v>691</v>
      </c>
      <c r="B25" s="318"/>
      <c r="C25" s="852">
        <v>0</v>
      </c>
      <c r="D25" s="852">
        <v>0</v>
      </c>
      <c r="E25" s="853">
        <v>0</v>
      </c>
      <c r="F25" s="854">
        <v>0</v>
      </c>
      <c r="G25" s="852">
        <v>0</v>
      </c>
      <c r="H25" s="855">
        <v>0</v>
      </c>
      <c r="I25" s="856">
        <v>0</v>
      </c>
      <c r="J25" s="852">
        <v>0</v>
      </c>
      <c r="K25" s="853">
        <v>0</v>
      </c>
    </row>
    <row r="26" spans="1:11" ht="11.25" customHeight="1" x14ac:dyDescent="0.25">
      <c r="A26" s="1153" t="s">
        <v>979</v>
      </c>
      <c r="B26" s="337"/>
      <c r="C26" s="824">
        <v>0</v>
      </c>
      <c r="D26" s="824">
        <v>0</v>
      </c>
      <c r="E26" s="825">
        <v>0</v>
      </c>
      <c r="F26" s="826">
        <v>0</v>
      </c>
      <c r="G26" s="824">
        <v>0</v>
      </c>
      <c r="H26" s="827">
        <v>0</v>
      </c>
      <c r="I26" s="828">
        <v>0</v>
      </c>
      <c r="J26" s="824">
        <v>0</v>
      </c>
      <c r="K26" s="825">
        <v>0</v>
      </c>
    </row>
    <row r="27" spans="1:11" ht="11.25" customHeight="1" x14ac:dyDescent="0.25">
      <c r="A27" s="1154" t="s">
        <v>1575</v>
      </c>
      <c r="B27" s="266"/>
      <c r="C27" s="852">
        <v>0</v>
      </c>
      <c r="D27" s="852">
        <v>0</v>
      </c>
      <c r="E27" s="853">
        <v>0</v>
      </c>
      <c r="F27" s="854">
        <v>0</v>
      </c>
      <c r="G27" s="852">
        <v>0</v>
      </c>
      <c r="H27" s="855">
        <v>0</v>
      </c>
      <c r="I27" s="856">
        <v>0</v>
      </c>
      <c r="J27" s="852">
        <v>0</v>
      </c>
      <c r="K27" s="853">
        <v>0</v>
      </c>
    </row>
    <row r="28" spans="1:11" ht="11.25" customHeight="1" x14ac:dyDescent="0.25">
      <c r="A28" s="1154" t="s">
        <v>967</v>
      </c>
      <c r="B28" s="266"/>
      <c r="C28" s="1185">
        <v>0</v>
      </c>
      <c r="D28" s="1185">
        <v>0</v>
      </c>
      <c r="E28" s="1186">
        <v>0</v>
      </c>
      <c r="F28" s="1187">
        <v>0</v>
      </c>
      <c r="G28" s="1185">
        <v>0</v>
      </c>
      <c r="H28" s="1188">
        <v>0</v>
      </c>
      <c r="I28" s="1189">
        <v>0</v>
      </c>
      <c r="J28" s="1185">
        <v>0</v>
      </c>
      <c r="K28" s="1186">
        <v>0</v>
      </c>
    </row>
    <row r="29" spans="1:11" ht="11.25" customHeight="1" x14ac:dyDescent="0.25">
      <c r="A29" s="1154" t="s">
        <v>968</v>
      </c>
      <c r="B29" s="266"/>
      <c r="C29" s="852">
        <v>0</v>
      </c>
      <c r="D29" s="852">
        <v>0</v>
      </c>
      <c r="E29" s="853">
        <v>0</v>
      </c>
      <c r="F29" s="854">
        <v>0</v>
      </c>
      <c r="G29" s="852">
        <v>0</v>
      </c>
      <c r="H29" s="855">
        <v>0</v>
      </c>
      <c r="I29" s="856">
        <v>0</v>
      </c>
      <c r="J29" s="852">
        <v>0</v>
      </c>
      <c r="K29" s="853">
        <v>0</v>
      </c>
    </row>
    <row r="30" spans="1:11" ht="11.25" customHeight="1" x14ac:dyDescent="0.25">
      <c r="A30" s="1154" t="s">
        <v>969</v>
      </c>
      <c r="B30" s="181">
        <v>6</v>
      </c>
      <c r="C30" s="852">
        <v>0</v>
      </c>
      <c r="D30" s="852">
        <v>0</v>
      </c>
      <c r="E30" s="853">
        <v>0</v>
      </c>
      <c r="F30" s="854">
        <v>0</v>
      </c>
      <c r="G30" s="852">
        <v>0</v>
      </c>
      <c r="H30" s="855">
        <v>0</v>
      </c>
      <c r="I30" s="856">
        <v>0</v>
      </c>
      <c r="J30" s="852">
        <v>0</v>
      </c>
      <c r="K30" s="853">
        <v>0</v>
      </c>
    </row>
    <row r="31" spans="1:11" x14ac:dyDescent="0.25">
      <c r="A31" s="1256" t="s">
        <v>1545</v>
      </c>
      <c r="B31" s="473"/>
      <c r="C31" s="852">
        <v>0</v>
      </c>
      <c r="D31" s="852">
        <v>0</v>
      </c>
      <c r="E31" s="853">
        <v>0</v>
      </c>
      <c r="F31" s="854">
        <v>0</v>
      </c>
      <c r="G31" s="852">
        <v>0</v>
      </c>
      <c r="H31" s="855">
        <v>0</v>
      </c>
      <c r="I31" s="856">
        <v>0</v>
      </c>
      <c r="J31" s="852">
        <v>0</v>
      </c>
      <c r="K31" s="853">
        <v>0</v>
      </c>
    </row>
    <row r="32" spans="1:11" ht="11.25" customHeight="1" x14ac:dyDescent="0.25">
      <c r="A32" s="1154" t="s">
        <v>136</v>
      </c>
      <c r="B32" s="181"/>
      <c r="C32" s="852">
        <v>0</v>
      </c>
      <c r="D32" s="852">
        <v>0</v>
      </c>
      <c r="E32" s="853">
        <v>0</v>
      </c>
      <c r="F32" s="854">
        <v>0</v>
      </c>
      <c r="G32" s="852">
        <v>0</v>
      </c>
      <c r="H32" s="855">
        <v>0</v>
      </c>
      <c r="I32" s="856">
        <v>0</v>
      </c>
      <c r="J32" s="852">
        <v>0</v>
      </c>
      <c r="K32" s="853">
        <v>0</v>
      </c>
    </row>
    <row r="33" spans="1:11" ht="11.25" customHeight="1" x14ac:dyDescent="0.25">
      <c r="A33" s="1154" t="s">
        <v>884</v>
      </c>
      <c r="B33" s="181"/>
      <c r="C33" s="915">
        <v>0</v>
      </c>
      <c r="D33" s="915">
        <v>0</v>
      </c>
      <c r="E33" s="916">
        <v>0</v>
      </c>
      <c r="F33" s="917">
        <v>0</v>
      </c>
      <c r="G33" s="915">
        <v>0</v>
      </c>
      <c r="H33" s="918">
        <v>0</v>
      </c>
      <c r="I33" s="919">
        <v>0</v>
      </c>
      <c r="J33" s="915">
        <v>0</v>
      </c>
      <c r="K33" s="916">
        <v>0</v>
      </c>
    </row>
    <row r="34" spans="1:11" ht="5.0999999999999996" customHeight="1" x14ac:dyDescent="0.25">
      <c r="A34" s="1155"/>
      <c r="B34" s="181"/>
      <c r="C34" s="205"/>
      <c r="D34" s="205"/>
      <c r="E34" s="256"/>
      <c r="F34" s="246"/>
      <c r="G34" s="205"/>
      <c r="H34" s="208"/>
      <c r="I34" s="209"/>
      <c r="J34" s="205"/>
      <c r="K34" s="256"/>
    </row>
    <row r="35" spans="1:11" ht="11.25" customHeight="1" x14ac:dyDescent="0.25">
      <c r="A35" s="1254" t="s">
        <v>603</v>
      </c>
      <c r="B35" s="181">
        <v>4</v>
      </c>
      <c r="C35" s="205"/>
      <c r="D35" s="205"/>
      <c r="E35" s="256"/>
      <c r="F35" s="246"/>
      <c r="G35" s="205"/>
      <c r="H35" s="208"/>
      <c r="I35" s="209"/>
      <c r="J35" s="205"/>
      <c r="K35" s="256"/>
    </row>
    <row r="36" spans="1:11" ht="11.25" customHeight="1" x14ac:dyDescent="0.25">
      <c r="A36" s="1255" t="s">
        <v>390</v>
      </c>
      <c r="B36" s="318"/>
      <c r="C36" s="205">
        <v>908966</v>
      </c>
      <c r="D36" s="205">
        <v>1777902.52</v>
      </c>
      <c r="E36" s="256">
        <v>1967955.18</v>
      </c>
      <c r="F36" s="246">
        <v>0</v>
      </c>
      <c r="G36" s="205">
        <v>5150000</v>
      </c>
      <c r="H36" s="208">
        <v>5150000</v>
      </c>
      <c r="I36" s="209">
        <v>4613700</v>
      </c>
      <c r="J36" s="205">
        <v>7500000</v>
      </c>
      <c r="K36" s="256">
        <v>12843000</v>
      </c>
    </row>
    <row r="37" spans="1:11" ht="11.25" customHeight="1" x14ac:dyDescent="0.25">
      <c r="A37" s="1255" t="s">
        <v>752</v>
      </c>
      <c r="B37" s="318"/>
      <c r="C37" s="205">
        <v>3731593</v>
      </c>
      <c r="D37" s="205">
        <v>2415449.6499999994</v>
      </c>
      <c r="E37" s="256">
        <v>1304104.96</v>
      </c>
      <c r="F37" s="246">
        <v>0</v>
      </c>
      <c r="G37" s="205">
        <v>0</v>
      </c>
      <c r="H37" s="208">
        <v>0</v>
      </c>
      <c r="I37" s="209">
        <v>0</v>
      </c>
      <c r="J37" s="205">
        <v>0</v>
      </c>
      <c r="K37" s="256">
        <v>0</v>
      </c>
    </row>
    <row r="38" spans="1:11" ht="11.25" customHeight="1" x14ac:dyDescent="0.25">
      <c r="A38" s="1255" t="s">
        <v>391</v>
      </c>
      <c r="B38" s="318"/>
      <c r="C38" s="205">
        <v>679714</v>
      </c>
      <c r="D38" s="205">
        <v>8544098.0199999996</v>
      </c>
      <c r="E38" s="256">
        <v>1146483.99</v>
      </c>
      <c r="F38" s="246">
        <v>0</v>
      </c>
      <c r="G38" s="205">
        <v>200000</v>
      </c>
      <c r="H38" s="208">
        <v>200000</v>
      </c>
      <c r="I38" s="209">
        <v>0</v>
      </c>
      <c r="J38" s="205">
        <v>1750000</v>
      </c>
      <c r="K38" s="256">
        <v>0</v>
      </c>
    </row>
    <row r="39" spans="1:11" ht="11.25" customHeight="1" x14ac:dyDescent="0.25">
      <c r="A39" s="1255" t="s">
        <v>392</v>
      </c>
      <c r="B39" s="318"/>
      <c r="C39" s="205">
        <v>664470</v>
      </c>
      <c r="D39" s="205">
        <v>634720.67000000004</v>
      </c>
      <c r="E39" s="256">
        <v>609688.19999999995</v>
      </c>
      <c r="F39" s="246">
        <v>0</v>
      </c>
      <c r="G39" s="205">
        <v>2950000</v>
      </c>
      <c r="H39" s="208">
        <v>2950000</v>
      </c>
      <c r="I39" s="209">
        <v>0</v>
      </c>
      <c r="J39" s="205">
        <v>0</v>
      </c>
      <c r="K39" s="256">
        <v>0</v>
      </c>
    </row>
    <row r="40" spans="1:11" ht="11.25" customHeight="1" x14ac:dyDescent="0.25">
      <c r="A40" s="1255" t="s">
        <v>691</v>
      </c>
      <c r="B40" s="318"/>
      <c r="C40" s="205">
        <v>0</v>
      </c>
      <c r="D40" s="205">
        <v>0</v>
      </c>
      <c r="E40" s="256">
        <v>0</v>
      </c>
      <c r="F40" s="246">
        <v>0</v>
      </c>
      <c r="G40" s="205">
        <v>0</v>
      </c>
      <c r="H40" s="208">
        <v>0</v>
      </c>
      <c r="I40" s="209">
        <v>5336300</v>
      </c>
      <c r="J40" s="205">
        <v>3700000</v>
      </c>
      <c r="K40" s="256">
        <v>0</v>
      </c>
    </row>
    <row r="41" spans="1:11" ht="11.25" customHeight="1" x14ac:dyDescent="0.25">
      <c r="A41" s="1153" t="s">
        <v>979</v>
      </c>
      <c r="B41" s="318"/>
      <c r="C41" s="824">
        <v>5984743</v>
      </c>
      <c r="D41" s="824">
        <v>13372170.859999999</v>
      </c>
      <c r="E41" s="825">
        <v>5028232.33</v>
      </c>
      <c r="F41" s="826">
        <v>0</v>
      </c>
      <c r="G41" s="824">
        <v>8300000</v>
      </c>
      <c r="H41" s="827">
        <v>8300000</v>
      </c>
      <c r="I41" s="828">
        <v>9950000</v>
      </c>
      <c r="J41" s="824">
        <v>12950000</v>
      </c>
      <c r="K41" s="825">
        <v>12843000</v>
      </c>
    </row>
    <row r="42" spans="1:11" ht="11.25" customHeight="1" x14ac:dyDescent="0.25">
      <c r="A42" s="1154" t="s">
        <v>1575</v>
      </c>
      <c r="B42" s="181"/>
      <c r="C42" s="205">
        <v>0</v>
      </c>
      <c r="D42" s="205">
        <v>0</v>
      </c>
      <c r="E42" s="256">
        <v>0</v>
      </c>
      <c r="F42" s="246">
        <v>0</v>
      </c>
      <c r="G42" s="205">
        <v>300000</v>
      </c>
      <c r="H42" s="208">
        <v>300000</v>
      </c>
      <c r="I42" s="209">
        <v>1560000</v>
      </c>
      <c r="J42" s="205">
        <v>0</v>
      </c>
      <c r="K42" s="256">
        <v>0</v>
      </c>
    </row>
    <row r="43" spans="1:11" ht="11.25" customHeight="1" x14ac:dyDescent="0.25">
      <c r="A43" s="1154" t="s">
        <v>967</v>
      </c>
      <c r="B43" s="181"/>
      <c r="C43" s="251">
        <v>0</v>
      </c>
      <c r="D43" s="251">
        <v>0</v>
      </c>
      <c r="E43" s="254">
        <v>0</v>
      </c>
      <c r="F43" s="252">
        <v>0</v>
      </c>
      <c r="G43" s="251">
        <v>0</v>
      </c>
      <c r="H43" s="253">
        <v>0</v>
      </c>
      <c r="I43" s="255">
        <v>0</v>
      </c>
      <c r="J43" s="251">
        <v>0</v>
      </c>
      <c r="K43" s="254">
        <v>0</v>
      </c>
    </row>
    <row r="44" spans="1:11" ht="11.25" customHeight="1" x14ac:dyDescent="0.25">
      <c r="A44" s="1154" t="s">
        <v>968</v>
      </c>
      <c r="B44" s="181"/>
      <c r="C44" s="205">
        <v>9100000</v>
      </c>
      <c r="D44" s="205">
        <v>0</v>
      </c>
      <c r="E44" s="256">
        <v>0</v>
      </c>
      <c r="F44" s="246">
        <v>0</v>
      </c>
      <c r="G44" s="205">
        <v>0</v>
      </c>
      <c r="H44" s="208">
        <v>0</v>
      </c>
      <c r="I44" s="209">
        <v>0</v>
      </c>
      <c r="J44" s="205">
        <v>0</v>
      </c>
      <c r="K44" s="256">
        <v>0</v>
      </c>
    </row>
    <row r="45" spans="1:11" ht="11.25" customHeight="1" x14ac:dyDescent="0.25">
      <c r="A45" s="1154" t="s">
        <v>969</v>
      </c>
      <c r="B45" s="181"/>
      <c r="C45" s="205">
        <v>1727118</v>
      </c>
      <c r="D45" s="205">
        <v>2287726.08</v>
      </c>
      <c r="E45" s="256">
        <v>1118540.5</v>
      </c>
      <c r="F45" s="246">
        <v>0</v>
      </c>
      <c r="G45" s="205">
        <v>1180000</v>
      </c>
      <c r="H45" s="208">
        <v>1180000</v>
      </c>
      <c r="I45" s="209">
        <v>1455000</v>
      </c>
      <c r="J45" s="205">
        <v>1542300</v>
      </c>
      <c r="K45" s="256">
        <v>1634838</v>
      </c>
    </row>
    <row r="46" spans="1:11" x14ac:dyDescent="0.25">
      <c r="A46" s="1256" t="s">
        <v>1545</v>
      </c>
      <c r="B46" s="181"/>
      <c r="C46" s="205">
        <v>0</v>
      </c>
      <c r="D46" s="205">
        <v>0</v>
      </c>
      <c r="E46" s="256">
        <v>0</v>
      </c>
      <c r="F46" s="246">
        <v>0</v>
      </c>
      <c r="G46" s="205">
        <v>0</v>
      </c>
      <c r="H46" s="208">
        <v>0</v>
      </c>
      <c r="I46" s="209">
        <v>0</v>
      </c>
      <c r="J46" s="205">
        <v>0</v>
      </c>
      <c r="K46" s="256">
        <v>0</v>
      </c>
    </row>
    <row r="47" spans="1:11" ht="11.25" customHeight="1" x14ac:dyDescent="0.25">
      <c r="A47" s="1154" t="s">
        <v>136</v>
      </c>
      <c r="B47" s="181"/>
      <c r="C47" s="205">
        <v>0</v>
      </c>
      <c r="D47" s="205">
        <v>0</v>
      </c>
      <c r="E47" s="256">
        <v>0</v>
      </c>
      <c r="F47" s="246">
        <v>0</v>
      </c>
      <c r="G47" s="205">
        <v>0</v>
      </c>
      <c r="H47" s="208">
        <v>0</v>
      </c>
      <c r="I47" s="209">
        <v>0</v>
      </c>
      <c r="J47" s="205">
        <v>0</v>
      </c>
      <c r="K47" s="256">
        <v>0</v>
      </c>
    </row>
    <row r="48" spans="1:11" ht="11.25" customHeight="1" x14ac:dyDescent="0.25">
      <c r="A48" s="1154" t="s">
        <v>884</v>
      </c>
      <c r="B48" s="181"/>
      <c r="C48" s="205">
        <v>0</v>
      </c>
      <c r="D48" s="205">
        <v>44330</v>
      </c>
      <c r="E48" s="256">
        <v>0</v>
      </c>
      <c r="F48" s="246">
        <v>0</v>
      </c>
      <c r="G48" s="205">
        <v>0</v>
      </c>
      <c r="H48" s="208">
        <v>0</v>
      </c>
      <c r="I48" s="209">
        <v>0</v>
      </c>
      <c r="J48" s="205">
        <v>0</v>
      </c>
      <c r="K48" s="256">
        <v>0</v>
      </c>
    </row>
    <row r="49" spans="1:11" x14ac:dyDescent="0.25">
      <c r="A49" s="1257" t="s">
        <v>1435</v>
      </c>
      <c r="B49" s="222">
        <v>2</v>
      </c>
      <c r="C49" s="224">
        <v>16811861</v>
      </c>
      <c r="D49" s="224">
        <v>15704226.939999999</v>
      </c>
      <c r="E49" s="320">
        <v>6146772.8300000001</v>
      </c>
      <c r="F49" s="321">
        <v>0</v>
      </c>
      <c r="G49" s="224">
        <v>9780000</v>
      </c>
      <c r="H49" s="223">
        <v>9780000</v>
      </c>
      <c r="I49" s="322">
        <v>12965000</v>
      </c>
      <c r="J49" s="224">
        <v>14492300</v>
      </c>
      <c r="K49" s="320">
        <v>14477838</v>
      </c>
    </row>
    <row r="50" spans="1:11" ht="5.0999999999999996" customHeight="1" x14ac:dyDescent="0.25">
      <c r="A50" s="245"/>
      <c r="B50" s="181"/>
      <c r="C50" s="205"/>
      <c r="D50" s="205"/>
      <c r="E50" s="256"/>
      <c r="F50" s="246"/>
      <c r="G50" s="205"/>
      <c r="H50" s="208"/>
      <c r="I50" s="209"/>
      <c r="J50" s="205"/>
      <c r="K50" s="256"/>
    </row>
    <row r="51" spans="1:11" ht="11.25" customHeight="1" x14ac:dyDescent="0.25">
      <c r="A51" s="303" t="s">
        <v>1439</v>
      </c>
      <c r="B51" s="181">
        <v>5</v>
      </c>
      <c r="C51" s="205"/>
      <c r="D51" s="205"/>
      <c r="E51" s="256"/>
      <c r="F51" s="246"/>
      <c r="G51" s="205"/>
      <c r="H51" s="208"/>
      <c r="I51" s="209"/>
      <c r="J51" s="205"/>
      <c r="K51" s="256"/>
    </row>
    <row r="52" spans="1:11" ht="11.25" customHeight="1" x14ac:dyDescent="0.25">
      <c r="A52" s="1191" t="s">
        <v>390</v>
      </c>
      <c r="B52" s="318"/>
      <c r="C52" s="1030">
        <v>19948230.816826489</v>
      </c>
      <c r="D52" s="1030">
        <v>19317503.496826485</v>
      </c>
      <c r="E52" s="1065">
        <v>18834254.217092317</v>
      </c>
      <c r="F52" s="1066">
        <v>0</v>
      </c>
      <c r="G52" s="1030">
        <v>23984254.217092302</v>
      </c>
      <c r="H52" s="1067">
        <v>23984254.217092302</v>
      </c>
      <c r="I52" s="1031">
        <v>25963945.332889993</v>
      </c>
      <c r="J52" s="1030">
        <v>30671149.222604521</v>
      </c>
      <c r="K52" s="1065">
        <v>27714022.643131442</v>
      </c>
    </row>
    <row r="53" spans="1:11" ht="11.25" customHeight="1" x14ac:dyDescent="0.25">
      <c r="A53" s="1191" t="s">
        <v>752</v>
      </c>
      <c r="B53" s="318"/>
      <c r="C53" s="1030">
        <v>12408574.476424657</v>
      </c>
      <c r="D53" s="1030">
        <v>14233614.647246573</v>
      </c>
      <c r="E53" s="1065">
        <v>14945940.070700996</v>
      </c>
      <c r="F53" s="1066">
        <v>0</v>
      </c>
      <c r="G53" s="1030">
        <v>14945940.070700999</v>
      </c>
      <c r="H53" s="1067">
        <v>14945940.070700999</v>
      </c>
      <c r="I53" s="1031">
        <v>14310027.162432536</v>
      </c>
      <c r="J53" s="1030">
        <v>13635779.210064553</v>
      </c>
      <c r="K53" s="1065">
        <v>12921857.941784477</v>
      </c>
    </row>
    <row r="54" spans="1:11" ht="11.25" customHeight="1" x14ac:dyDescent="0.25">
      <c r="A54" s="1191" t="s">
        <v>391</v>
      </c>
      <c r="B54" s="318"/>
      <c r="C54" s="1030">
        <v>22466483.973658282</v>
      </c>
      <c r="D54" s="1030">
        <v>30137692.630994774</v>
      </c>
      <c r="E54" s="1065">
        <v>30410827.447826963</v>
      </c>
      <c r="F54" s="1066">
        <v>0</v>
      </c>
      <c r="G54" s="1030">
        <v>30610827.447827</v>
      </c>
      <c r="H54" s="1067">
        <v>30610827.447827</v>
      </c>
      <c r="I54" s="1031">
        <v>29672346.175079871</v>
      </c>
      <c r="J54" s="1030">
        <v>30427289.983802941</v>
      </c>
      <c r="K54" s="1065">
        <v>29373683.850344997</v>
      </c>
    </row>
    <row r="55" spans="1:11" ht="11.25" customHeight="1" x14ac:dyDescent="0.25">
      <c r="A55" s="1191" t="s">
        <v>392</v>
      </c>
      <c r="B55" s="318"/>
      <c r="C55" s="1030">
        <v>26115799.565030135</v>
      </c>
      <c r="D55" s="1030">
        <v>25940086.44855205</v>
      </c>
      <c r="E55" s="1065">
        <v>25739340.863324609</v>
      </c>
      <c r="F55" s="1066">
        <v>0</v>
      </c>
      <c r="G55" s="1030">
        <v>28685340.863324601</v>
      </c>
      <c r="H55" s="1067">
        <v>28685340.863324601</v>
      </c>
      <c r="I55" s="1031">
        <v>35139467.04377456</v>
      </c>
      <c r="J55" s="1030">
        <v>37916093.918354988</v>
      </c>
      <c r="K55" s="1065">
        <v>36938388.742566034</v>
      </c>
    </row>
    <row r="56" spans="1:11" ht="11.25" customHeight="1" x14ac:dyDescent="0.25">
      <c r="A56" s="1191" t="s">
        <v>691</v>
      </c>
      <c r="B56" s="318"/>
      <c r="C56" s="1030">
        <v>0</v>
      </c>
      <c r="D56" s="1030">
        <v>0</v>
      </c>
      <c r="E56" s="1065">
        <v>0</v>
      </c>
      <c r="F56" s="1066">
        <v>0</v>
      </c>
      <c r="G56" s="1030">
        <v>0</v>
      </c>
      <c r="H56" s="1067">
        <v>0</v>
      </c>
      <c r="I56" s="1031">
        <v>0</v>
      </c>
      <c r="J56" s="1030">
        <v>0</v>
      </c>
      <c r="K56" s="1065">
        <v>0</v>
      </c>
    </row>
    <row r="57" spans="1:11" ht="11.25" customHeight="1" x14ac:dyDescent="0.25">
      <c r="A57" s="249" t="s">
        <v>979</v>
      </c>
      <c r="B57" s="318"/>
      <c r="C57" s="1032">
        <v>80939088.831939563</v>
      </c>
      <c r="D57" s="1032">
        <v>89628897.223619878</v>
      </c>
      <c r="E57" s="1033">
        <v>89930362.598944888</v>
      </c>
      <c r="F57" s="1034">
        <v>0</v>
      </c>
      <c r="G57" s="1032">
        <v>98226362.598944902</v>
      </c>
      <c r="H57" s="1035">
        <v>98226362.598944902</v>
      </c>
      <c r="I57" s="1036">
        <v>105085785.71417695</v>
      </c>
      <c r="J57" s="1032">
        <v>112650312.33482701</v>
      </c>
      <c r="K57" s="1033">
        <v>106947953.17782696</v>
      </c>
    </row>
    <row r="58" spans="1:11" ht="11.25" customHeight="1" x14ac:dyDescent="0.25">
      <c r="A58" s="245" t="s">
        <v>1575</v>
      </c>
      <c r="B58" s="181"/>
      <c r="C58" s="1030">
        <v>863061.68356164382</v>
      </c>
      <c r="D58" s="1030">
        <v>855720.51356164378</v>
      </c>
      <c r="E58" s="1065">
        <v>848379.34356164373</v>
      </c>
      <c r="F58" s="1066">
        <v>0</v>
      </c>
      <c r="G58" s="1030">
        <v>1118379.343561644</v>
      </c>
      <c r="H58" s="1067">
        <v>1118379.343561644</v>
      </c>
      <c r="I58" s="1031">
        <v>2670490.6882829503</v>
      </c>
      <c r="J58" s="1030">
        <v>2662126.4773989804</v>
      </c>
      <c r="K58" s="1065">
        <v>2653270.1093203318</v>
      </c>
    </row>
    <row r="59" spans="1:11" ht="11.25" customHeight="1" x14ac:dyDescent="0.25">
      <c r="A59" s="245" t="s">
        <v>967</v>
      </c>
      <c r="B59" s="181"/>
      <c r="C59" s="2089">
        <v>0</v>
      </c>
      <c r="D59" s="2089">
        <v>0</v>
      </c>
      <c r="E59" s="2090">
        <v>0</v>
      </c>
      <c r="F59" s="2091">
        <v>0</v>
      </c>
      <c r="G59" s="2089">
        <v>0</v>
      </c>
      <c r="H59" s="1786">
        <v>0</v>
      </c>
      <c r="I59" s="2092">
        <v>0</v>
      </c>
      <c r="J59" s="2089">
        <v>0</v>
      </c>
      <c r="K59" s="2090">
        <v>0</v>
      </c>
    </row>
    <row r="60" spans="1:11" ht="11.25" customHeight="1" x14ac:dyDescent="0.25">
      <c r="A60" s="245" t="s">
        <v>968</v>
      </c>
      <c r="B60" s="181"/>
      <c r="C60" s="852">
        <v>15944121</v>
      </c>
      <c r="D60" s="852">
        <v>15925407</v>
      </c>
      <c r="E60" s="853">
        <v>15906693</v>
      </c>
      <c r="F60" s="854">
        <v>19984100</v>
      </c>
      <c r="G60" s="852">
        <v>15906693</v>
      </c>
      <c r="H60" s="855">
        <v>15906693</v>
      </c>
      <c r="I60" s="856">
        <v>15887979</v>
      </c>
      <c r="J60" s="852">
        <v>15869265</v>
      </c>
      <c r="K60" s="853">
        <v>15850551</v>
      </c>
    </row>
    <row r="61" spans="1:11" ht="11.25" customHeight="1" x14ac:dyDescent="0.25">
      <c r="A61" s="245" t="s">
        <v>969</v>
      </c>
      <c r="B61" s="181"/>
      <c r="C61" s="1030">
        <v>24310441.349884175</v>
      </c>
      <c r="D61" s="1030">
        <v>26172955.933576163</v>
      </c>
      <c r="E61" s="1065">
        <v>26724493.063576169</v>
      </c>
      <c r="F61" s="1066">
        <v>0</v>
      </c>
      <c r="G61" s="1030">
        <v>22580960.063576199</v>
      </c>
      <c r="H61" s="1067">
        <v>22580960.063576199</v>
      </c>
      <c r="I61" s="1031">
        <v>21437971.06362284</v>
      </c>
      <c r="J61" s="1030">
        <v>22334252.001456771</v>
      </c>
      <c r="K61" s="1065">
        <v>36128058.634991467</v>
      </c>
    </row>
    <row r="62" spans="1:11" x14ac:dyDescent="0.25">
      <c r="A62" s="189" t="s">
        <v>1545</v>
      </c>
      <c r="B62" s="181"/>
      <c r="C62" s="852">
        <v>0</v>
      </c>
      <c r="D62" s="852">
        <v>0</v>
      </c>
      <c r="E62" s="853">
        <v>0</v>
      </c>
      <c r="F62" s="854">
        <v>0</v>
      </c>
      <c r="G62" s="852">
        <v>0</v>
      </c>
      <c r="H62" s="855">
        <v>0</v>
      </c>
      <c r="I62" s="856">
        <v>0</v>
      </c>
      <c r="J62" s="852">
        <v>0</v>
      </c>
      <c r="K62" s="853">
        <v>0</v>
      </c>
    </row>
    <row r="63" spans="1:11" ht="11.25" customHeight="1" x14ac:dyDescent="0.25">
      <c r="A63" s="245" t="s">
        <v>136</v>
      </c>
      <c r="B63" s="181"/>
      <c r="C63" s="852">
        <v>103000</v>
      </c>
      <c r="D63" s="852">
        <v>65500</v>
      </c>
      <c r="E63" s="853">
        <v>87300</v>
      </c>
      <c r="F63" s="854">
        <v>0</v>
      </c>
      <c r="G63" s="852">
        <v>87300</v>
      </c>
      <c r="H63" s="855">
        <v>87300</v>
      </c>
      <c r="I63" s="856">
        <v>87300</v>
      </c>
      <c r="J63" s="852">
        <v>87300</v>
      </c>
      <c r="K63" s="853">
        <v>87300</v>
      </c>
    </row>
    <row r="64" spans="1:11" ht="11.25" customHeight="1" x14ac:dyDescent="0.25">
      <c r="A64" s="245" t="s">
        <v>884</v>
      </c>
      <c r="B64" s="181"/>
      <c r="C64" s="852">
        <v>0</v>
      </c>
      <c r="D64" s="852">
        <v>43882</v>
      </c>
      <c r="E64" s="853">
        <v>35016</v>
      </c>
      <c r="F64" s="854">
        <v>0</v>
      </c>
      <c r="G64" s="852">
        <v>35016</v>
      </c>
      <c r="H64" s="855">
        <v>35016</v>
      </c>
      <c r="I64" s="856">
        <v>26216</v>
      </c>
      <c r="J64" s="852">
        <v>17416</v>
      </c>
      <c r="K64" s="853">
        <v>0</v>
      </c>
    </row>
    <row r="65" spans="1:11" ht="11.25" customHeight="1" x14ac:dyDescent="0.25">
      <c r="A65" s="1257" t="s">
        <v>1440</v>
      </c>
      <c r="B65" s="222">
        <v>5</v>
      </c>
      <c r="C65" s="224">
        <v>122159712.86538538</v>
      </c>
      <c r="D65" s="224">
        <v>132692362.6707577</v>
      </c>
      <c r="E65" s="320">
        <v>133532244.00608271</v>
      </c>
      <c r="F65" s="321">
        <v>19984100</v>
      </c>
      <c r="G65" s="224">
        <v>137954711.00608274</v>
      </c>
      <c r="H65" s="223">
        <v>137954711.00608274</v>
      </c>
      <c r="I65" s="322">
        <v>145195742.46608275</v>
      </c>
      <c r="J65" s="224">
        <v>153620671.81368276</v>
      </c>
      <c r="K65" s="320">
        <v>161667132.92213875</v>
      </c>
    </row>
    <row r="66" spans="1:11" ht="5.0999999999999996" customHeight="1" x14ac:dyDescent="0.25">
      <c r="A66" s="245"/>
      <c r="B66" s="181"/>
      <c r="C66" s="205"/>
      <c r="D66" s="205"/>
      <c r="E66" s="256"/>
      <c r="F66" s="246"/>
      <c r="G66" s="205"/>
      <c r="H66" s="208"/>
      <c r="I66" s="209"/>
      <c r="J66" s="205"/>
      <c r="K66" s="256"/>
    </row>
    <row r="67" spans="1:11" ht="11.25" customHeight="1" x14ac:dyDescent="0.25">
      <c r="A67" s="340" t="s">
        <v>1436</v>
      </c>
      <c r="B67" s="181"/>
      <c r="C67" s="357"/>
      <c r="D67" s="357"/>
      <c r="E67" s="313"/>
      <c r="F67" s="358"/>
      <c r="G67" s="357"/>
      <c r="H67" s="359"/>
      <c r="I67" s="1190"/>
      <c r="J67" s="357"/>
      <c r="K67" s="313"/>
    </row>
    <row r="68" spans="1:11" ht="11.25" customHeight="1" x14ac:dyDescent="0.25">
      <c r="A68" s="1037" t="s">
        <v>1503</v>
      </c>
      <c r="B68" s="181"/>
      <c r="C68" s="205">
        <v>4025720.9765738035</v>
      </c>
      <c r="D68" s="205">
        <v>5134591.4269657983</v>
      </c>
      <c r="E68" s="256">
        <v>5329449.4785402957</v>
      </c>
      <c r="F68" s="246">
        <v>5357533</v>
      </c>
      <c r="G68" s="205">
        <v>5357533</v>
      </c>
      <c r="H68" s="208">
        <v>5357533</v>
      </c>
      <c r="I68" s="209">
        <v>5723968.540000001</v>
      </c>
      <c r="J68" s="205">
        <v>6067370.652400001</v>
      </c>
      <c r="K68" s="256">
        <v>6431376.8915440002</v>
      </c>
    </row>
    <row r="69" spans="1:11" ht="11.25" customHeight="1" x14ac:dyDescent="0.25">
      <c r="A69" s="1037" t="s">
        <v>393</v>
      </c>
      <c r="B69" s="181">
        <v>3</v>
      </c>
      <c r="C69" s="205">
        <v>1133566.1700000002</v>
      </c>
      <c r="D69" s="205">
        <v>1553123.54</v>
      </c>
      <c r="E69" s="256">
        <v>2154289.13</v>
      </c>
      <c r="F69" s="246" t="s">
        <v>2564</v>
      </c>
      <c r="G69" s="205">
        <v>5571750</v>
      </c>
      <c r="H69" s="208">
        <v>5571750</v>
      </c>
      <c r="I69" s="209">
        <v>5026250</v>
      </c>
      <c r="J69" s="205">
        <v>5327825</v>
      </c>
      <c r="K69" s="256">
        <v>5647494.5</v>
      </c>
    </row>
    <row r="70" spans="1:11" ht="11.25" customHeight="1" x14ac:dyDescent="0.25">
      <c r="A70" s="1191" t="s">
        <v>390</v>
      </c>
      <c r="B70" s="318"/>
      <c r="C70" s="852">
        <v>64994.080000000002</v>
      </c>
      <c r="D70" s="852">
        <v>293722.23</v>
      </c>
      <c r="E70" s="853">
        <v>503395.06999999995</v>
      </c>
      <c r="F70" s="854">
        <v>0</v>
      </c>
      <c r="G70" s="852">
        <v>1155000</v>
      </c>
      <c r="H70" s="855">
        <v>1155000</v>
      </c>
      <c r="I70" s="856">
        <v>1110000</v>
      </c>
      <c r="J70" s="852">
        <v>1176600</v>
      </c>
      <c r="K70" s="853">
        <v>1247196</v>
      </c>
    </row>
    <row r="71" spans="1:11" ht="11.25" customHeight="1" x14ac:dyDescent="0.25">
      <c r="A71" s="1191" t="s">
        <v>752</v>
      </c>
      <c r="B71" s="318"/>
      <c r="C71" s="852">
        <v>124866.68</v>
      </c>
      <c r="D71" s="852">
        <v>177475.22</v>
      </c>
      <c r="E71" s="853">
        <v>117903.13</v>
      </c>
      <c r="F71" s="854">
        <v>0</v>
      </c>
      <c r="G71" s="852">
        <v>1670000</v>
      </c>
      <c r="H71" s="855">
        <v>1670000</v>
      </c>
      <c r="I71" s="856">
        <v>1665000</v>
      </c>
      <c r="J71" s="852">
        <v>1764900</v>
      </c>
      <c r="K71" s="853">
        <v>1870794</v>
      </c>
    </row>
    <row r="72" spans="1:11" ht="11.25" customHeight="1" x14ac:dyDescent="0.25">
      <c r="A72" s="1191" t="s">
        <v>391</v>
      </c>
      <c r="B72" s="318"/>
      <c r="C72" s="852">
        <v>109386.15</v>
      </c>
      <c r="D72" s="852">
        <v>195503.81</v>
      </c>
      <c r="E72" s="853">
        <v>330487.25</v>
      </c>
      <c r="F72" s="854">
        <v>0</v>
      </c>
      <c r="G72" s="852">
        <v>365000</v>
      </c>
      <c r="H72" s="855">
        <v>365000</v>
      </c>
      <c r="I72" s="856">
        <v>365000</v>
      </c>
      <c r="J72" s="852">
        <v>386900</v>
      </c>
      <c r="K72" s="853">
        <v>410114</v>
      </c>
    </row>
    <row r="73" spans="1:11" ht="11.25" customHeight="1" x14ac:dyDescent="0.25">
      <c r="A73" s="1191" t="s">
        <v>392</v>
      </c>
      <c r="B73" s="318"/>
      <c r="C73" s="852">
        <v>57317.56</v>
      </c>
      <c r="D73" s="852">
        <v>80881.7</v>
      </c>
      <c r="E73" s="853">
        <v>21851</v>
      </c>
      <c r="F73" s="854">
        <v>0</v>
      </c>
      <c r="G73" s="852">
        <v>100000</v>
      </c>
      <c r="H73" s="855">
        <v>100000</v>
      </c>
      <c r="I73" s="856">
        <v>100000</v>
      </c>
      <c r="J73" s="852">
        <v>106000</v>
      </c>
      <c r="K73" s="853">
        <v>112360</v>
      </c>
    </row>
    <row r="74" spans="1:11" ht="11.25" customHeight="1" x14ac:dyDescent="0.25">
      <c r="A74" s="1191" t="s">
        <v>691</v>
      </c>
      <c r="B74" s="318"/>
      <c r="C74" s="852">
        <v>10003.370000000001</v>
      </c>
      <c r="D74" s="852">
        <v>67856.67</v>
      </c>
      <c r="E74" s="853">
        <v>34221.58</v>
      </c>
      <c r="F74" s="854">
        <v>0</v>
      </c>
      <c r="G74" s="852">
        <v>100000</v>
      </c>
      <c r="H74" s="855">
        <v>100000</v>
      </c>
      <c r="I74" s="856">
        <v>100000</v>
      </c>
      <c r="J74" s="852">
        <v>106000</v>
      </c>
      <c r="K74" s="853">
        <v>112360</v>
      </c>
    </row>
    <row r="75" spans="1:11" ht="11.25" customHeight="1" x14ac:dyDescent="0.25">
      <c r="A75" s="332" t="s">
        <v>979</v>
      </c>
      <c r="B75" s="318"/>
      <c r="C75" s="824">
        <v>366567.84</v>
      </c>
      <c r="D75" s="824">
        <v>815439.63</v>
      </c>
      <c r="E75" s="825">
        <v>1007858.0299999999</v>
      </c>
      <c r="F75" s="826">
        <v>0</v>
      </c>
      <c r="G75" s="824">
        <v>3390000</v>
      </c>
      <c r="H75" s="827">
        <v>3390000</v>
      </c>
      <c r="I75" s="828">
        <v>3340000</v>
      </c>
      <c r="J75" s="824">
        <v>3540400</v>
      </c>
      <c r="K75" s="825">
        <v>3752824</v>
      </c>
    </row>
    <row r="76" spans="1:11" ht="11.25" customHeight="1" x14ac:dyDescent="0.25">
      <c r="A76" s="336" t="s">
        <v>1575</v>
      </c>
      <c r="B76" s="181"/>
      <c r="C76" s="852">
        <v>5712.01</v>
      </c>
      <c r="D76" s="852">
        <v>5973.71</v>
      </c>
      <c r="E76" s="853">
        <v>1970.48</v>
      </c>
      <c r="F76" s="854">
        <v>0</v>
      </c>
      <c r="G76" s="852">
        <v>167000</v>
      </c>
      <c r="H76" s="855">
        <v>167000</v>
      </c>
      <c r="I76" s="856">
        <v>201000</v>
      </c>
      <c r="J76" s="852">
        <v>213060</v>
      </c>
      <c r="K76" s="853">
        <v>225843.6</v>
      </c>
    </row>
    <row r="77" spans="1:11" ht="11.25" customHeight="1" x14ac:dyDescent="0.25">
      <c r="A77" s="336" t="s">
        <v>967</v>
      </c>
      <c r="B77" s="181"/>
      <c r="C77" s="1185">
        <v>0</v>
      </c>
      <c r="D77" s="1185">
        <v>0</v>
      </c>
      <c r="E77" s="1186">
        <v>0</v>
      </c>
      <c r="F77" s="1187">
        <v>0</v>
      </c>
      <c r="G77" s="1185">
        <v>0</v>
      </c>
      <c r="H77" s="1188">
        <v>0</v>
      </c>
      <c r="I77" s="1189">
        <v>0</v>
      </c>
      <c r="J77" s="1185">
        <v>0</v>
      </c>
      <c r="K77" s="1186">
        <v>0</v>
      </c>
    </row>
    <row r="78" spans="1:11" ht="11.25" customHeight="1" x14ac:dyDescent="0.25">
      <c r="A78" s="336" t="s">
        <v>968</v>
      </c>
      <c r="B78" s="181"/>
      <c r="C78" s="852">
        <v>0</v>
      </c>
      <c r="D78" s="852">
        <v>0</v>
      </c>
      <c r="E78" s="853">
        <v>0</v>
      </c>
      <c r="F78" s="854">
        <v>0</v>
      </c>
      <c r="G78" s="852">
        <v>0</v>
      </c>
      <c r="H78" s="855">
        <v>0</v>
      </c>
      <c r="I78" s="856">
        <v>0</v>
      </c>
      <c r="J78" s="852">
        <v>0</v>
      </c>
      <c r="K78" s="853">
        <v>0</v>
      </c>
    </row>
    <row r="79" spans="1:11" ht="11.25" customHeight="1" x14ac:dyDescent="0.25">
      <c r="A79" s="336" t="s">
        <v>969</v>
      </c>
      <c r="B79" s="181" t="s">
        <v>1240</v>
      </c>
      <c r="C79" s="852">
        <v>761286.32000000007</v>
      </c>
      <c r="D79" s="852">
        <v>731710.2</v>
      </c>
      <c r="E79" s="853">
        <v>1144460.6199999999</v>
      </c>
      <c r="F79" s="854">
        <v>0</v>
      </c>
      <c r="G79" s="852">
        <v>2014750</v>
      </c>
      <c r="H79" s="855">
        <v>2014750</v>
      </c>
      <c r="I79" s="856">
        <v>1485250</v>
      </c>
      <c r="J79" s="852">
        <v>1574365</v>
      </c>
      <c r="K79" s="853">
        <v>1668826.9000000001</v>
      </c>
    </row>
    <row r="80" spans="1:11" ht="11.25" customHeight="1" x14ac:dyDescent="0.25">
      <c r="A80" s="221" t="s">
        <v>1437</v>
      </c>
      <c r="B80" s="222"/>
      <c r="C80" s="259">
        <v>5159287.1465738034</v>
      </c>
      <c r="D80" s="259">
        <v>6687714.9669657983</v>
      </c>
      <c r="E80" s="260">
        <v>7483738.6085402956</v>
      </c>
      <c r="F80" s="261">
        <v>5357533</v>
      </c>
      <c r="G80" s="259">
        <v>10929283</v>
      </c>
      <c r="H80" s="258">
        <v>10929283</v>
      </c>
      <c r="I80" s="262">
        <v>10750218.540000001</v>
      </c>
      <c r="J80" s="259">
        <v>11395195.652400002</v>
      </c>
      <c r="K80" s="260">
        <v>12078871.391543999</v>
      </c>
    </row>
    <row r="81" spans="1:11" ht="6.75" customHeight="1" x14ac:dyDescent="0.25">
      <c r="A81" s="1258"/>
      <c r="B81" s="632"/>
      <c r="C81" s="2156"/>
      <c r="D81" s="2156"/>
      <c r="E81" s="2157"/>
      <c r="F81" s="2158"/>
      <c r="G81" s="2156"/>
      <c r="H81" s="1689"/>
      <c r="I81" s="2159"/>
      <c r="J81" s="2156"/>
      <c r="K81" s="2157"/>
    </row>
    <row r="82" spans="1:11" ht="11.25" customHeight="1" x14ac:dyDescent="0.25">
      <c r="A82" s="342" t="s">
        <v>1968</v>
      </c>
      <c r="B82" s="343"/>
      <c r="C82" s="344">
        <v>0</v>
      </c>
      <c r="D82" s="344">
        <v>0</v>
      </c>
      <c r="E82" s="345">
        <v>0</v>
      </c>
      <c r="F82" s="346">
        <v>0</v>
      </c>
      <c r="G82" s="344">
        <v>0</v>
      </c>
      <c r="H82" s="347">
        <v>0</v>
      </c>
      <c r="I82" s="348">
        <v>0</v>
      </c>
      <c r="J82" s="344">
        <v>0</v>
      </c>
      <c r="K82" s="345">
        <v>0</v>
      </c>
    </row>
    <row r="83" spans="1:11" ht="11.25" customHeight="1" x14ac:dyDescent="0.25">
      <c r="A83" s="342" t="s">
        <v>1438</v>
      </c>
      <c r="B83" s="343"/>
      <c r="C83" s="344">
        <v>0</v>
      </c>
      <c r="D83" s="344">
        <v>0</v>
      </c>
      <c r="E83" s="345">
        <v>0</v>
      </c>
      <c r="F83" s="346">
        <v>0</v>
      </c>
      <c r="G83" s="344">
        <v>0</v>
      </c>
      <c r="H83" s="347">
        <v>0</v>
      </c>
      <c r="I83" s="348">
        <v>0</v>
      </c>
      <c r="J83" s="344">
        <v>0</v>
      </c>
      <c r="K83" s="345">
        <v>0</v>
      </c>
    </row>
    <row r="84" spans="1:11" ht="11.25" customHeight="1" x14ac:dyDescent="0.25">
      <c r="A84" s="342" t="s">
        <v>931</v>
      </c>
      <c r="B84" s="343"/>
      <c r="C84" s="344">
        <v>1.0999999999999999E-2</v>
      </c>
      <c r="D84" s="344">
        <v>1.2999999999999999E-2</v>
      </c>
      <c r="E84" s="345">
        <v>1.7999999999999999E-2</v>
      </c>
      <c r="F84" s="346">
        <v>0</v>
      </c>
      <c r="G84" s="344">
        <v>4.5999999999999999E-2</v>
      </c>
      <c r="H84" s="347">
        <v>4.5999999999999999E-2</v>
      </c>
      <c r="I84" s="348">
        <v>3.9E-2</v>
      </c>
      <c r="J84" s="344">
        <v>3.9E-2</v>
      </c>
      <c r="K84" s="345">
        <v>3.9E-2</v>
      </c>
    </row>
    <row r="85" spans="1:11" ht="11.25" customHeight="1" x14ac:dyDescent="0.25">
      <c r="A85" s="342" t="s">
        <v>540</v>
      </c>
      <c r="B85" s="343"/>
      <c r="C85" s="344">
        <v>0.01</v>
      </c>
      <c r="D85" s="344">
        <v>0.01</v>
      </c>
      <c r="E85" s="345">
        <v>0.02</v>
      </c>
      <c r="F85" s="346">
        <v>0</v>
      </c>
      <c r="G85" s="344">
        <v>0.04</v>
      </c>
      <c r="H85" s="347">
        <v>0.04</v>
      </c>
      <c r="I85" s="348">
        <v>0.03</v>
      </c>
      <c r="J85" s="344">
        <v>0.03</v>
      </c>
      <c r="K85" s="345">
        <v>0.03</v>
      </c>
    </row>
    <row r="86" spans="1:11" ht="5.0999999999999996" customHeight="1" x14ac:dyDescent="0.25">
      <c r="A86" s="349"/>
      <c r="B86" s="350"/>
      <c r="C86" s="2160"/>
      <c r="D86" s="2160"/>
      <c r="E86" s="2161"/>
      <c r="F86" s="2162"/>
      <c r="G86" s="2160"/>
      <c r="H86" s="2163"/>
      <c r="I86" s="2164"/>
      <c r="J86" s="2160"/>
      <c r="K86" s="2161"/>
    </row>
    <row r="87" spans="1:11" s="625" customFormat="1" x14ac:dyDescent="0.25">
      <c r="A87" s="995" t="s">
        <v>986</v>
      </c>
      <c r="B87" s="996"/>
      <c r="C87" s="998"/>
      <c r="D87" s="998"/>
      <c r="E87" s="998"/>
      <c r="F87" s="998"/>
      <c r="G87" s="998"/>
      <c r="H87" s="998"/>
      <c r="I87" s="998"/>
      <c r="J87" s="998"/>
      <c r="K87" s="998"/>
    </row>
    <row r="88" spans="1:11" s="625" customFormat="1" x14ac:dyDescent="0.25">
      <c r="A88" s="965" t="s">
        <v>454</v>
      </c>
      <c r="B88" s="996"/>
      <c r="C88" s="998"/>
      <c r="D88" s="998"/>
      <c r="E88" s="998"/>
      <c r="F88" s="998"/>
      <c r="G88" s="998"/>
      <c r="H88" s="998"/>
      <c r="I88" s="998"/>
      <c r="J88" s="998"/>
      <c r="K88" s="998"/>
    </row>
    <row r="89" spans="1:11" s="625" customFormat="1" x14ac:dyDescent="0.25">
      <c r="A89" s="965" t="s">
        <v>455</v>
      </c>
      <c r="B89" s="996"/>
      <c r="C89" s="998"/>
      <c r="D89" s="998"/>
      <c r="E89" s="998"/>
      <c r="F89" s="998"/>
      <c r="G89" s="998"/>
      <c r="H89" s="998"/>
      <c r="I89" s="998"/>
      <c r="J89" s="998"/>
      <c r="K89" s="998"/>
    </row>
    <row r="90" spans="1:11" s="625" customFormat="1" x14ac:dyDescent="0.25">
      <c r="A90" s="965" t="s">
        <v>456</v>
      </c>
      <c r="B90" s="996"/>
      <c r="C90" s="998"/>
      <c r="D90" s="998"/>
      <c r="E90" s="998"/>
      <c r="F90" s="998"/>
      <c r="G90" s="998"/>
      <c r="H90" s="998"/>
      <c r="I90" s="998"/>
      <c r="J90" s="998"/>
      <c r="K90" s="998"/>
    </row>
    <row r="91" spans="1:11" s="625" customFormat="1" x14ac:dyDescent="0.25">
      <c r="A91" s="962" t="s">
        <v>457</v>
      </c>
      <c r="B91" s="996"/>
      <c r="C91" s="998"/>
      <c r="D91" s="998"/>
      <c r="E91" s="998"/>
      <c r="F91" s="998"/>
      <c r="G91" s="998"/>
      <c r="H91" s="998"/>
      <c r="I91" s="998"/>
      <c r="J91" s="998"/>
      <c r="K91" s="998"/>
    </row>
    <row r="92" spans="1:11" s="625" customFormat="1" x14ac:dyDescent="0.25">
      <c r="A92" s="965" t="s">
        <v>458</v>
      </c>
      <c r="B92" s="996"/>
      <c r="C92" s="998"/>
      <c r="D92" s="998"/>
      <c r="E92" s="998"/>
      <c r="F92" s="998"/>
      <c r="G92" s="998"/>
      <c r="H92" s="998"/>
      <c r="I92" s="998"/>
      <c r="J92" s="998"/>
      <c r="K92" s="998"/>
    </row>
    <row r="93" spans="1:11" s="625" customFormat="1" x14ac:dyDescent="0.25">
      <c r="A93" s="962" t="s">
        <v>459</v>
      </c>
      <c r="B93" s="1012"/>
      <c r="C93" s="932"/>
      <c r="D93" s="932"/>
      <c r="E93" s="932"/>
      <c r="F93" s="932"/>
      <c r="G93" s="932"/>
      <c r="H93" s="932"/>
      <c r="I93" s="932"/>
      <c r="J93" s="932"/>
      <c r="K93" s="932"/>
    </row>
    <row r="94" spans="1:11" ht="11.25" customHeight="1" x14ac:dyDescent="0.25">
      <c r="A94" s="1012" t="s">
        <v>501</v>
      </c>
      <c r="B94" s="996"/>
      <c r="C94" s="932"/>
      <c r="D94" s="932"/>
      <c r="E94" s="932"/>
      <c r="F94" s="932"/>
      <c r="G94" s="932"/>
      <c r="H94" s="1184"/>
      <c r="I94" s="1184"/>
      <c r="J94" s="1184"/>
      <c r="K94" s="1184"/>
    </row>
    <row r="95" spans="1:11" ht="11.25" customHeight="1" x14ac:dyDescent="0.25">
      <c r="A95" s="1014" t="s">
        <v>2083</v>
      </c>
      <c r="B95" s="1012"/>
      <c r="C95" s="2154">
        <v>0</v>
      </c>
      <c r="D95" s="2154">
        <v>-1.4901161193847656E-8</v>
      </c>
      <c r="E95" s="2154">
        <v>1.4901161193847656E-8</v>
      </c>
      <c r="F95" s="2154">
        <v>-113803200.72684209</v>
      </c>
      <c r="G95" s="2154">
        <v>4.4703483581542969E-8</v>
      </c>
      <c r="H95" s="2154">
        <v>4.4703483581542969E-8</v>
      </c>
      <c r="I95" s="2154">
        <v>5.9604644775390625E-8</v>
      </c>
      <c r="J95" s="2154">
        <v>5.9604644775390625E-8</v>
      </c>
      <c r="K95" s="2154">
        <v>5.9604644775390625E-8</v>
      </c>
    </row>
    <row r="96" spans="1:11" ht="11.25" customHeight="1" x14ac:dyDescent="0.25">
      <c r="A96" s="241"/>
      <c r="B96" s="241"/>
      <c r="C96" s="328"/>
      <c r="D96" s="328"/>
      <c r="E96" s="328"/>
      <c r="F96" s="328"/>
      <c r="G96" s="328"/>
    </row>
    <row r="97" spans="1:7" ht="11.25" customHeight="1" x14ac:dyDescent="0.25">
      <c r="A97" s="241"/>
      <c r="B97" s="241"/>
      <c r="C97" s="328"/>
      <c r="D97" s="328"/>
      <c r="E97" s="328"/>
      <c r="F97" s="328"/>
      <c r="G97" s="328"/>
    </row>
    <row r="98" spans="1:7" ht="11.25" customHeight="1" x14ac:dyDescent="0.25">
      <c r="A98" s="241"/>
      <c r="B98" s="241"/>
      <c r="C98" s="328"/>
      <c r="D98" s="328"/>
      <c r="E98" s="328"/>
      <c r="F98" s="328"/>
      <c r="G98" s="328"/>
    </row>
    <row r="99" spans="1:7" ht="11.25" customHeight="1" x14ac:dyDescent="0.25">
      <c r="A99" s="241"/>
      <c r="B99" s="232"/>
      <c r="C99" s="328"/>
      <c r="D99" s="328"/>
      <c r="E99" s="328"/>
      <c r="F99" s="328"/>
      <c r="G99" s="328"/>
    </row>
    <row r="100" spans="1:7" ht="11.25" customHeight="1" x14ac:dyDescent="0.25"/>
    <row r="101" spans="1:7" ht="11.25" customHeight="1" x14ac:dyDescent="0.25"/>
    <row r="102" spans="1:7" ht="11.25" customHeight="1" x14ac:dyDescent="0.25"/>
    <row r="103" spans="1:7" ht="11.25" customHeight="1" x14ac:dyDescent="0.25"/>
    <row r="104" spans="1:7" ht="11.25" customHeight="1" x14ac:dyDescent="0.25"/>
    <row r="105" spans="1:7" ht="11.25" customHeight="1" x14ac:dyDescent="0.25"/>
    <row r="106" spans="1:7" ht="11.25" customHeight="1" x14ac:dyDescent="0.25"/>
    <row r="107" spans="1:7" ht="11.25" customHeight="1" x14ac:dyDescent="0.25"/>
    <row r="108" spans="1:7" ht="11.25" customHeight="1" x14ac:dyDescent="0.25"/>
    <row r="109" spans="1:7" ht="11.25" customHeight="1" x14ac:dyDescent="0.25"/>
    <row r="110" spans="1:7" ht="11.25" customHeight="1" x14ac:dyDescent="0.25"/>
    <row r="111" spans="1:7" ht="11.25" customHeight="1" x14ac:dyDescent="0.25"/>
    <row r="112" spans="1:7"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sheetData>
  <dataConsolidate/>
  <mergeCells count="2">
    <mergeCell ref="F2:H2"/>
    <mergeCell ref="I2:K2"/>
  </mergeCells>
  <phoneticPr fontId="4" type="noConversion"/>
  <pageMargins left="0.75" right="0.75" top="1" bottom="1" header="0.5" footer="0.5"/>
  <pageSetup scale="63"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tabColor indexed="44"/>
    <pageSetUpPr fitToPage="1"/>
  </sheetPr>
  <dimension ref="A1:M133"/>
  <sheetViews>
    <sheetView showGridLines="0" tabSelected="1" workbookViewId="0">
      <pane xSplit="2" ySplit="3" topLeftCell="C27"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623" customWidth="1"/>
    <col min="2" max="2" width="3" style="620" customWidth="1"/>
    <col min="3" max="8" width="9.28515625" style="1184" customWidth="1"/>
    <col min="9" max="9" width="9.85546875" style="1184" customWidth="1"/>
    <col min="10" max="11" width="9.28515625" style="1184" customWidth="1"/>
    <col min="12" max="12" width="9.85546875" style="623" customWidth="1"/>
    <col min="13" max="13" width="9.5703125" style="623" customWidth="1"/>
    <col min="14" max="14" width="9.85546875" style="623" customWidth="1"/>
    <col min="15" max="17" width="9.5703125" style="623" customWidth="1"/>
    <col min="18" max="18" width="9.85546875" style="623" customWidth="1"/>
    <col min="19" max="21" width="9.5703125" style="623" customWidth="1"/>
    <col min="22" max="23" width="9.85546875" style="623" customWidth="1"/>
    <col min="24" max="16384" width="9.140625" style="623"/>
  </cols>
  <sheetData>
    <row r="1" spans="1:13" s="895" customFormat="1" x14ac:dyDescent="0.2">
      <c r="A1" s="894" t="s">
        <v>2502</v>
      </c>
      <c r="B1" s="894"/>
      <c r="C1" s="894"/>
      <c r="D1" s="894"/>
      <c r="E1" s="894"/>
      <c r="F1" s="894"/>
      <c r="G1" s="894"/>
      <c r="H1" s="894"/>
      <c r="I1" s="894"/>
      <c r="J1" s="894"/>
      <c r="K1" s="894"/>
    </row>
    <row r="2" spans="1:13" ht="28.5" customHeight="1" x14ac:dyDescent="0.25">
      <c r="A2" s="2723" t="s">
        <v>775</v>
      </c>
      <c r="B2" s="2725" t="s">
        <v>429</v>
      </c>
      <c r="C2" s="896" t="s">
        <v>2478</v>
      </c>
      <c r="D2" s="896" t="s">
        <v>2479</v>
      </c>
      <c r="E2" s="1998" t="s">
        <v>2480</v>
      </c>
      <c r="F2" s="2706" t="s">
        <v>2481</v>
      </c>
      <c r="G2" s="2707"/>
      <c r="H2" s="2722"/>
      <c r="I2" s="2708" t="s">
        <v>2482</v>
      </c>
      <c r="J2" s="2709"/>
      <c r="K2" s="2710"/>
    </row>
    <row r="3" spans="1:13" ht="25.5" x14ac:dyDescent="0.25">
      <c r="A3" s="2724"/>
      <c r="B3" s="2726"/>
      <c r="C3" s="898" t="s">
        <v>319</v>
      </c>
      <c r="D3" s="898" t="s">
        <v>319</v>
      </c>
      <c r="E3" s="899" t="s">
        <v>319</v>
      </c>
      <c r="F3" s="900" t="s">
        <v>467</v>
      </c>
      <c r="G3" s="898" t="s">
        <v>1807</v>
      </c>
      <c r="H3" s="899" t="s">
        <v>1808</v>
      </c>
      <c r="I3" s="900" t="s">
        <v>2483</v>
      </c>
      <c r="J3" s="898" t="s">
        <v>2484</v>
      </c>
      <c r="K3" s="899" t="s">
        <v>2485</v>
      </c>
    </row>
    <row r="4" spans="1:13" s="1962" customFormat="1" ht="11.25" customHeight="1" x14ac:dyDescent="0.25">
      <c r="A4" s="901" t="s">
        <v>2240</v>
      </c>
      <c r="B4" s="902">
        <v>1</v>
      </c>
      <c r="C4" s="1963"/>
      <c r="D4" s="1963"/>
      <c r="E4" s="1964"/>
      <c r="F4" s="1965"/>
      <c r="G4" s="1963"/>
      <c r="H4" s="1966"/>
      <c r="I4" s="1967"/>
      <c r="J4" s="1963"/>
      <c r="K4" s="1964"/>
    </row>
    <row r="5" spans="1:13" s="1962" customFormat="1" x14ac:dyDescent="0.25">
      <c r="A5" s="908" t="s">
        <v>1869</v>
      </c>
      <c r="B5" s="902"/>
      <c r="C5" s="1936"/>
      <c r="D5" s="1936"/>
      <c r="E5" s="1937"/>
      <c r="F5" s="1938"/>
      <c r="G5" s="1936"/>
      <c r="H5" s="1939"/>
      <c r="I5" s="1940"/>
      <c r="J5" s="1936"/>
      <c r="K5" s="1937"/>
    </row>
    <row r="6" spans="1:13" ht="11.25" customHeight="1" x14ac:dyDescent="0.25">
      <c r="A6" s="909" t="s">
        <v>1656</v>
      </c>
      <c r="B6" s="902"/>
      <c r="C6" s="2165">
        <v>270</v>
      </c>
      <c r="D6" s="2165">
        <v>270</v>
      </c>
      <c r="E6" s="2165">
        <v>270</v>
      </c>
      <c r="F6" s="2165">
        <v>2117</v>
      </c>
      <c r="G6" s="2165">
        <v>270</v>
      </c>
      <c r="H6" s="2165">
        <v>270</v>
      </c>
      <c r="I6" s="2165">
        <v>260</v>
      </c>
      <c r="J6" s="2165">
        <v>260</v>
      </c>
      <c r="K6" s="2165">
        <v>260</v>
      </c>
      <c r="L6" s="1184"/>
      <c r="M6" s="1184"/>
    </row>
    <row r="7" spans="1:13" ht="11.25" customHeight="1" x14ac:dyDescent="0.25">
      <c r="A7" s="909" t="s">
        <v>1868</v>
      </c>
      <c r="B7" s="902"/>
      <c r="C7" s="2165">
        <v>4780</v>
      </c>
      <c r="D7" s="2165">
        <v>4780</v>
      </c>
      <c r="E7" s="2166">
        <v>4760</v>
      </c>
      <c r="F7" s="2167">
        <v>0</v>
      </c>
      <c r="G7" s="2165">
        <v>4780</v>
      </c>
      <c r="H7" s="2165">
        <v>4780</v>
      </c>
      <c r="I7" s="2168">
        <v>4790</v>
      </c>
      <c r="J7" s="2168">
        <v>4790</v>
      </c>
      <c r="K7" s="2168">
        <v>4790</v>
      </c>
      <c r="L7" s="1184"/>
      <c r="M7" s="1184"/>
    </row>
    <row r="8" spans="1:13" ht="11.25" customHeight="1" x14ac:dyDescent="0.25">
      <c r="A8" s="909" t="s">
        <v>131</v>
      </c>
      <c r="B8" s="902">
        <v>2</v>
      </c>
      <c r="C8" s="2165"/>
      <c r="D8" s="2165"/>
      <c r="E8" s="2166"/>
      <c r="F8" s="2167">
        <v>220</v>
      </c>
      <c r="G8" s="2167">
        <v>182</v>
      </c>
      <c r="H8" s="2167">
        <v>182</v>
      </c>
      <c r="I8" s="2167">
        <v>182</v>
      </c>
      <c r="J8" s="2167">
        <v>182</v>
      </c>
      <c r="K8" s="2167">
        <v>182</v>
      </c>
      <c r="L8" s="1184"/>
      <c r="M8" s="1184"/>
    </row>
    <row r="9" spans="1:13" ht="11.25" customHeight="1" x14ac:dyDescent="0.25">
      <c r="A9" s="909" t="s">
        <v>132</v>
      </c>
      <c r="B9" s="902">
        <v>4</v>
      </c>
      <c r="C9" s="2165"/>
      <c r="D9" s="2165"/>
      <c r="E9" s="2166"/>
      <c r="F9" s="2167"/>
      <c r="G9" s="2165"/>
      <c r="H9" s="1776"/>
      <c r="I9" s="2168"/>
      <c r="J9" s="2165"/>
      <c r="K9" s="2166"/>
      <c r="L9" s="1184"/>
      <c r="M9" s="1184"/>
    </row>
    <row r="10" spans="1:13" ht="11.25" customHeight="1" x14ac:dyDescent="0.25">
      <c r="A10" s="1252" t="s">
        <v>378</v>
      </c>
      <c r="B10" s="902"/>
      <c r="C10" s="1941">
        <v>5050</v>
      </c>
      <c r="D10" s="1941">
        <v>5050</v>
      </c>
      <c r="E10" s="1942">
        <v>5030</v>
      </c>
      <c r="F10" s="1943">
        <v>2337</v>
      </c>
      <c r="G10" s="1941">
        <v>5232</v>
      </c>
      <c r="H10" s="1944">
        <v>5232</v>
      </c>
      <c r="I10" s="1945">
        <v>5232</v>
      </c>
      <c r="J10" s="1941">
        <v>5232</v>
      </c>
      <c r="K10" s="1942">
        <v>5232</v>
      </c>
      <c r="L10" s="1184"/>
      <c r="M10" s="1184"/>
    </row>
    <row r="11" spans="1:13" ht="11.25" customHeight="1" x14ac:dyDescent="0.25">
      <c r="A11" s="909" t="s">
        <v>507</v>
      </c>
      <c r="B11" s="902">
        <v>3</v>
      </c>
      <c r="C11" s="2165"/>
      <c r="D11" s="2165"/>
      <c r="E11" s="2166"/>
      <c r="F11" s="2167">
        <v>0</v>
      </c>
      <c r="G11" s="2165"/>
      <c r="H11" s="1776"/>
      <c r="I11" s="2168"/>
      <c r="J11" s="2165"/>
      <c r="K11" s="2166"/>
      <c r="L11" s="1184"/>
      <c r="M11" s="1184"/>
    </row>
    <row r="12" spans="1:13" ht="11.25" customHeight="1" x14ac:dyDescent="0.25">
      <c r="A12" s="909" t="s">
        <v>508</v>
      </c>
      <c r="B12" s="902">
        <v>4</v>
      </c>
      <c r="C12" s="2165"/>
      <c r="D12" s="2165"/>
      <c r="E12" s="2166"/>
      <c r="F12" s="2167">
        <v>0</v>
      </c>
      <c r="G12" s="2165"/>
      <c r="H12" s="1776"/>
      <c r="I12" s="2168"/>
      <c r="J12" s="2165"/>
      <c r="K12" s="2166"/>
      <c r="L12" s="1184"/>
      <c r="M12" s="1184"/>
    </row>
    <row r="13" spans="1:13" ht="11.25" customHeight="1" x14ac:dyDescent="0.25">
      <c r="A13" s="909" t="s">
        <v>976</v>
      </c>
      <c r="B13" s="902"/>
      <c r="C13" s="2165"/>
      <c r="D13" s="2165"/>
      <c r="E13" s="2166"/>
      <c r="F13" s="2167">
        <v>0</v>
      </c>
      <c r="G13" s="2165"/>
      <c r="H13" s="1776"/>
      <c r="I13" s="2168"/>
      <c r="J13" s="2165"/>
      <c r="K13" s="2166"/>
      <c r="L13" s="1184"/>
      <c r="M13" s="1184"/>
    </row>
    <row r="14" spans="1:13" ht="11.25" customHeight="1" x14ac:dyDescent="0.25">
      <c r="A14" s="1252" t="s">
        <v>1298</v>
      </c>
      <c r="B14" s="902"/>
      <c r="C14" s="1946">
        <v>0</v>
      </c>
      <c r="D14" s="1946">
        <v>0</v>
      </c>
      <c r="E14" s="1947">
        <v>0</v>
      </c>
      <c r="F14" s="1948">
        <v>0</v>
      </c>
      <c r="G14" s="1946">
        <v>0</v>
      </c>
      <c r="H14" s="1949">
        <v>0</v>
      </c>
      <c r="I14" s="1950">
        <v>0</v>
      </c>
      <c r="J14" s="1946">
        <v>0</v>
      </c>
      <c r="K14" s="1947">
        <v>0</v>
      </c>
      <c r="L14" s="1184"/>
      <c r="M14" s="1184"/>
    </row>
    <row r="15" spans="1:13" ht="11.25" customHeight="1" x14ac:dyDescent="0.25">
      <c r="A15" s="910" t="s">
        <v>1336</v>
      </c>
      <c r="B15" s="902">
        <v>5</v>
      </c>
      <c r="C15" s="1951">
        <v>5050</v>
      </c>
      <c r="D15" s="1951">
        <v>5050</v>
      </c>
      <c r="E15" s="1952">
        <v>5030</v>
      </c>
      <c r="F15" s="1953">
        <v>2337</v>
      </c>
      <c r="G15" s="1951">
        <v>5232</v>
      </c>
      <c r="H15" s="1954">
        <v>5232</v>
      </c>
      <c r="I15" s="1955">
        <v>5232</v>
      </c>
      <c r="J15" s="1951">
        <v>5232</v>
      </c>
      <c r="K15" s="1952">
        <v>5232</v>
      </c>
      <c r="L15" s="1184"/>
      <c r="M15" s="1184"/>
    </row>
    <row r="16" spans="1:13" s="1962" customFormat="1" ht="15.75" customHeight="1" x14ac:dyDescent="0.25">
      <c r="A16" s="908" t="s">
        <v>1337</v>
      </c>
      <c r="B16" s="902"/>
      <c r="C16" s="1936"/>
      <c r="D16" s="1936"/>
      <c r="E16" s="1937"/>
      <c r="F16" s="1938"/>
      <c r="G16" s="1936"/>
      <c r="H16" s="1939"/>
      <c r="I16" s="1940"/>
      <c r="J16" s="1936"/>
      <c r="K16" s="1937"/>
      <c r="L16" s="1961"/>
      <c r="M16" s="1961"/>
    </row>
    <row r="17" spans="1:13" ht="11.25" customHeight="1" x14ac:dyDescent="0.25">
      <c r="A17" s="909" t="s">
        <v>1338</v>
      </c>
      <c r="B17" s="902"/>
      <c r="C17" s="2165">
        <v>3919</v>
      </c>
      <c r="D17" s="2165">
        <v>3919</v>
      </c>
      <c r="E17" s="2165">
        <v>3919</v>
      </c>
      <c r="F17" s="2167">
        <v>1603</v>
      </c>
      <c r="G17" s="2167">
        <v>1603</v>
      </c>
      <c r="H17" s="2167">
        <v>1603</v>
      </c>
      <c r="I17" s="2168">
        <v>2555</v>
      </c>
      <c r="J17" s="2165">
        <v>2708</v>
      </c>
      <c r="K17" s="2166"/>
      <c r="L17" s="1184"/>
      <c r="M17" s="1184"/>
    </row>
    <row r="18" spans="1:13" ht="11.25" customHeight="1" x14ac:dyDescent="0.25">
      <c r="A18" s="909" t="s">
        <v>1339</v>
      </c>
      <c r="B18" s="902"/>
      <c r="C18" s="2165">
        <v>558</v>
      </c>
      <c r="D18" s="2165">
        <v>558</v>
      </c>
      <c r="E18" s="2166">
        <v>558</v>
      </c>
      <c r="F18" s="2167">
        <v>0</v>
      </c>
      <c r="G18" s="2165"/>
      <c r="H18" s="1776"/>
      <c r="I18" s="2168"/>
      <c r="J18" s="2165"/>
      <c r="K18" s="2166"/>
      <c r="L18" s="1184"/>
      <c r="M18" s="1184"/>
    </row>
    <row r="19" spans="1:13" ht="11.25" customHeight="1" x14ac:dyDescent="0.25">
      <c r="A19" s="909" t="s">
        <v>1411</v>
      </c>
      <c r="B19" s="902"/>
      <c r="C19" s="2165"/>
      <c r="D19" s="2165"/>
      <c r="E19" s="2166"/>
      <c r="F19" s="2167">
        <v>0</v>
      </c>
      <c r="G19" s="2165"/>
      <c r="H19" s="1776"/>
      <c r="I19" s="2168"/>
      <c r="J19" s="2165"/>
      <c r="K19" s="2166"/>
      <c r="L19" s="1184"/>
      <c r="M19" s="1184"/>
    </row>
    <row r="20" spans="1:13" ht="11.25" customHeight="1" x14ac:dyDescent="0.25">
      <c r="A20" s="909" t="s">
        <v>242</v>
      </c>
      <c r="B20" s="902"/>
      <c r="C20" s="2165"/>
      <c r="D20" s="2165"/>
      <c r="E20" s="2166"/>
      <c r="F20" s="2167">
        <v>0</v>
      </c>
      <c r="G20" s="2165"/>
      <c r="H20" s="1776"/>
      <c r="I20" s="2168"/>
      <c r="J20" s="2165"/>
      <c r="K20" s="2166"/>
      <c r="L20" s="1184"/>
      <c r="M20" s="1184"/>
    </row>
    <row r="21" spans="1:13" ht="11.25" customHeight="1" x14ac:dyDescent="0.25">
      <c r="A21" s="909" t="s">
        <v>244</v>
      </c>
      <c r="B21" s="902"/>
      <c r="C21" s="2165">
        <v>36</v>
      </c>
      <c r="D21" s="2165">
        <v>36</v>
      </c>
      <c r="E21" s="2165">
        <v>36</v>
      </c>
      <c r="F21" s="2167">
        <v>0</v>
      </c>
      <c r="G21" s="2165"/>
      <c r="H21" s="1776"/>
      <c r="I21" s="2168"/>
      <c r="J21" s="2165"/>
      <c r="K21" s="2166"/>
      <c r="L21" s="1184"/>
      <c r="M21" s="1184"/>
    </row>
    <row r="22" spans="1:13" ht="11.25" customHeight="1" x14ac:dyDescent="0.25">
      <c r="A22" s="1252" t="s">
        <v>378</v>
      </c>
      <c r="B22" s="902"/>
      <c r="C22" s="1941">
        <v>4513</v>
      </c>
      <c r="D22" s="1941">
        <v>4513</v>
      </c>
      <c r="E22" s="1942">
        <v>4513</v>
      </c>
      <c r="F22" s="1943">
        <v>1603</v>
      </c>
      <c r="G22" s="1941">
        <v>1603</v>
      </c>
      <c r="H22" s="1944">
        <v>1603</v>
      </c>
      <c r="I22" s="1945">
        <v>2555</v>
      </c>
      <c r="J22" s="1941">
        <v>2708</v>
      </c>
      <c r="K22" s="1942">
        <v>0</v>
      </c>
      <c r="L22" s="1184"/>
      <c r="M22" s="1184"/>
    </row>
    <row r="23" spans="1:13" ht="11.25" customHeight="1" x14ac:dyDescent="0.25">
      <c r="A23" s="909" t="s">
        <v>243</v>
      </c>
      <c r="B23" s="902"/>
      <c r="C23" s="2165">
        <v>1608</v>
      </c>
      <c r="D23" s="2165"/>
      <c r="E23" s="2166"/>
      <c r="F23" s="2167">
        <v>376</v>
      </c>
      <c r="G23" s="2169">
        <v>376000</v>
      </c>
      <c r="H23" s="2167">
        <v>376</v>
      </c>
      <c r="I23" s="2168">
        <v>376</v>
      </c>
      <c r="J23" s="2165"/>
      <c r="K23" s="2166"/>
      <c r="L23" s="1184"/>
      <c r="M23" s="1184"/>
    </row>
    <row r="24" spans="1:13" ht="11.25" customHeight="1" x14ac:dyDescent="0.25">
      <c r="A24" s="909" t="s">
        <v>1241</v>
      </c>
      <c r="B24" s="902"/>
      <c r="C24" s="2165"/>
      <c r="D24" s="2165"/>
      <c r="E24" s="2166"/>
      <c r="F24" s="2167"/>
      <c r="G24" s="2165"/>
      <c r="H24" s="1776"/>
      <c r="I24" s="2168"/>
      <c r="J24" s="2165"/>
      <c r="K24" s="2166"/>
      <c r="L24" s="1184"/>
      <c r="M24" s="1184"/>
    </row>
    <row r="25" spans="1:13" ht="11.25" customHeight="1" x14ac:dyDescent="0.25">
      <c r="A25" s="909" t="s">
        <v>1413</v>
      </c>
      <c r="B25" s="902"/>
      <c r="C25" s="2165"/>
      <c r="D25" s="2165"/>
      <c r="E25" s="2166"/>
      <c r="F25" s="2167"/>
      <c r="G25" s="2165"/>
      <c r="H25" s="1776"/>
      <c r="I25" s="2168"/>
      <c r="J25" s="2165"/>
      <c r="K25" s="2166"/>
      <c r="L25" s="1184"/>
      <c r="M25" s="1184"/>
    </row>
    <row r="26" spans="1:13" ht="11.25" customHeight="1" x14ac:dyDescent="0.25">
      <c r="A26" s="1252" t="s">
        <v>1298</v>
      </c>
      <c r="B26" s="902"/>
      <c r="C26" s="1946">
        <v>1608</v>
      </c>
      <c r="D26" s="1946">
        <v>0</v>
      </c>
      <c r="E26" s="1947">
        <v>0</v>
      </c>
      <c r="F26" s="1948">
        <v>376</v>
      </c>
      <c r="G26" s="1993">
        <f>G23</f>
        <v>376000</v>
      </c>
      <c r="H26" s="1949">
        <v>376</v>
      </c>
      <c r="I26" s="1950">
        <v>376</v>
      </c>
      <c r="J26" s="1946">
        <v>0</v>
      </c>
      <c r="K26" s="1947">
        <v>0</v>
      </c>
      <c r="L26" s="1184"/>
      <c r="M26" s="1184"/>
    </row>
    <row r="27" spans="1:13" ht="11.25" customHeight="1" x14ac:dyDescent="0.25">
      <c r="A27" s="910" t="s">
        <v>1336</v>
      </c>
      <c r="B27" s="902">
        <v>5</v>
      </c>
      <c r="C27" s="1951">
        <v>6121</v>
      </c>
      <c r="D27" s="1951">
        <v>4513</v>
      </c>
      <c r="E27" s="1952">
        <v>4513</v>
      </c>
      <c r="F27" s="1953">
        <v>1979</v>
      </c>
      <c r="G27" s="1951">
        <v>1979</v>
      </c>
      <c r="H27" s="1954">
        <v>1979</v>
      </c>
      <c r="I27" s="1955">
        <v>2931</v>
      </c>
      <c r="J27" s="1951">
        <v>2708</v>
      </c>
      <c r="K27" s="1952">
        <v>0</v>
      </c>
      <c r="L27" s="1184"/>
      <c r="M27" s="1184"/>
    </row>
    <row r="28" spans="1:13" s="1962" customFormat="1" ht="15.75" customHeight="1" x14ac:dyDescent="0.25">
      <c r="A28" s="908" t="s">
        <v>689</v>
      </c>
      <c r="B28" s="902"/>
      <c r="C28" s="1936"/>
      <c r="D28" s="1936"/>
      <c r="E28" s="1937"/>
      <c r="F28" s="1938"/>
      <c r="G28" s="1936"/>
      <c r="H28" s="1939"/>
      <c r="I28" s="1940"/>
      <c r="J28" s="1936"/>
      <c r="K28" s="1937"/>
      <c r="L28" s="1961"/>
      <c r="M28" s="1961"/>
    </row>
    <row r="29" spans="1:13" ht="11.25" customHeight="1" x14ac:dyDescent="0.25">
      <c r="A29" s="909" t="s">
        <v>1242</v>
      </c>
      <c r="B29" s="902"/>
      <c r="C29" s="2165">
        <v>426</v>
      </c>
      <c r="D29" s="2165">
        <v>426</v>
      </c>
      <c r="E29" s="2165">
        <v>426</v>
      </c>
      <c r="F29" s="2165">
        <v>5315</v>
      </c>
      <c r="G29" s="2165">
        <v>426</v>
      </c>
      <c r="H29" s="2165">
        <v>426</v>
      </c>
      <c r="I29" s="2165">
        <v>426</v>
      </c>
      <c r="J29" s="2165">
        <v>426</v>
      </c>
      <c r="K29" s="2165">
        <v>426</v>
      </c>
      <c r="L29" s="1184"/>
      <c r="M29" s="1184"/>
    </row>
    <row r="30" spans="1:13" ht="11.25" customHeight="1" x14ac:dyDescent="0.25">
      <c r="A30" s="909" t="s">
        <v>509</v>
      </c>
      <c r="B30" s="902"/>
      <c r="C30" s="2165">
        <v>1898</v>
      </c>
      <c r="D30" s="2165">
        <v>1898</v>
      </c>
      <c r="E30" s="2165">
        <v>1898</v>
      </c>
      <c r="F30" s="2165">
        <v>0</v>
      </c>
      <c r="G30" s="2165">
        <v>1898</v>
      </c>
      <c r="H30" s="2165">
        <v>1898</v>
      </c>
      <c r="I30" s="2165">
        <v>1898</v>
      </c>
      <c r="J30" s="2165">
        <v>1898</v>
      </c>
      <c r="K30" s="2165">
        <v>1898</v>
      </c>
      <c r="L30" s="1184"/>
      <c r="M30" s="1184"/>
    </row>
    <row r="31" spans="1:13" ht="11.25" customHeight="1" x14ac:dyDescent="0.25">
      <c r="A31" s="1252" t="s">
        <v>378</v>
      </c>
      <c r="B31" s="902"/>
      <c r="C31" s="1941">
        <v>2324</v>
      </c>
      <c r="D31" s="1941">
        <v>2324</v>
      </c>
      <c r="E31" s="1942">
        <v>2324</v>
      </c>
      <c r="F31" s="1943">
        <v>5315</v>
      </c>
      <c r="G31" s="1941">
        <v>2324</v>
      </c>
      <c r="H31" s="1944">
        <v>2324</v>
      </c>
      <c r="I31" s="1945">
        <v>2324</v>
      </c>
      <c r="J31" s="1941">
        <v>2324</v>
      </c>
      <c r="K31" s="1942">
        <v>2324</v>
      </c>
      <c r="L31" s="1184"/>
      <c r="M31" s="1184"/>
    </row>
    <row r="32" spans="1:13" ht="11.25" customHeight="1" x14ac:dyDescent="0.25">
      <c r="A32" s="909" t="s">
        <v>510</v>
      </c>
      <c r="B32" s="902"/>
      <c r="C32" s="2165"/>
      <c r="D32" s="2165"/>
      <c r="E32" s="2166"/>
      <c r="F32" s="2167">
        <v>0</v>
      </c>
      <c r="G32" s="2165"/>
      <c r="H32" s="1776"/>
      <c r="I32" s="2168"/>
      <c r="J32" s="2165"/>
      <c r="K32" s="2166"/>
      <c r="L32" s="1184"/>
      <c r="M32" s="1184"/>
    </row>
    <row r="33" spans="1:13" ht="11.25" customHeight="1" x14ac:dyDescent="0.25">
      <c r="A33" s="909" t="s">
        <v>511</v>
      </c>
      <c r="B33" s="902"/>
      <c r="C33" s="2165"/>
      <c r="D33" s="2165"/>
      <c r="E33" s="2166"/>
      <c r="F33" s="2167">
        <v>0</v>
      </c>
      <c r="G33" s="2165"/>
      <c r="H33" s="1776"/>
      <c r="I33" s="2168"/>
      <c r="J33" s="2165"/>
      <c r="K33" s="2166"/>
      <c r="L33" s="1184"/>
      <c r="M33" s="1184"/>
    </row>
    <row r="34" spans="1:13" ht="11.25" customHeight="1" x14ac:dyDescent="0.25">
      <c r="A34" s="909" t="s">
        <v>690</v>
      </c>
      <c r="B34" s="902"/>
      <c r="C34" s="2165">
        <v>359</v>
      </c>
      <c r="D34" s="2165">
        <v>247</v>
      </c>
      <c r="E34" s="2166">
        <v>297</v>
      </c>
      <c r="F34" s="2167">
        <v>0</v>
      </c>
      <c r="G34" s="2165">
        <v>197</v>
      </c>
      <c r="H34" s="1776">
        <v>197</v>
      </c>
      <c r="I34" s="2168">
        <v>187</v>
      </c>
      <c r="J34" s="2168">
        <v>187</v>
      </c>
      <c r="K34" s="2168">
        <v>187</v>
      </c>
      <c r="L34" s="1184"/>
      <c r="M34" s="1184"/>
    </row>
    <row r="35" spans="1:13" ht="11.25" customHeight="1" x14ac:dyDescent="0.25">
      <c r="A35" s="1252" t="s">
        <v>1298</v>
      </c>
      <c r="B35" s="902"/>
      <c r="C35" s="1946">
        <v>359</v>
      </c>
      <c r="D35" s="1946">
        <v>247</v>
      </c>
      <c r="E35" s="1947">
        <v>297</v>
      </c>
      <c r="F35" s="1948">
        <v>0</v>
      </c>
      <c r="G35" s="1946">
        <v>197000</v>
      </c>
      <c r="H35" s="1949">
        <v>197</v>
      </c>
      <c r="I35" s="1950">
        <v>187</v>
      </c>
      <c r="J35" s="1946">
        <v>187</v>
      </c>
      <c r="K35" s="1947">
        <v>187</v>
      </c>
      <c r="L35" s="1184"/>
      <c r="M35" s="1184"/>
    </row>
    <row r="36" spans="1:13" ht="11.25" customHeight="1" x14ac:dyDescent="0.25">
      <c r="A36" s="910" t="s">
        <v>1336</v>
      </c>
      <c r="B36" s="902">
        <v>5</v>
      </c>
      <c r="C36" s="1951">
        <v>2683</v>
      </c>
      <c r="D36" s="1951">
        <v>2571</v>
      </c>
      <c r="E36" s="1952">
        <v>2621</v>
      </c>
      <c r="F36" s="1953">
        <v>5315</v>
      </c>
      <c r="G36" s="1951">
        <v>2521</v>
      </c>
      <c r="H36" s="1954">
        <v>2521</v>
      </c>
      <c r="I36" s="1955">
        <v>2511</v>
      </c>
      <c r="J36" s="1951">
        <v>2511</v>
      </c>
      <c r="K36" s="1952">
        <v>2511</v>
      </c>
      <c r="L36" s="1184"/>
      <c r="M36" s="1184"/>
    </row>
    <row r="37" spans="1:13" s="1962" customFormat="1" ht="15.75" customHeight="1" x14ac:dyDescent="0.25">
      <c r="A37" s="908" t="s">
        <v>693</v>
      </c>
      <c r="B37" s="902"/>
      <c r="C37" s="1936"/>
      <c r="D37" s="1936"/>
      <c r="E37" s="1937"/>
      <c r="F37" s="1938"/>
      <c r="G37" s="1936"/>
      <c r="H37" s="1939"/>
      <c r="I37" s="1940"/>
      <c r="J37" s="1936"/>
      <c r="K37" s="1937"/>
      <c r="L37" s="1961"/>
      <c r="M37" s="1961"/>
    </row>
    <row r="38" spans="1:13" ht="11.25" customHeight="1" x14ac:dyDescent="0.25">
      <c r="A38" s="909" t="s">
        <v>745</v>
      </c>
      <c r="B38" s="902"/>
      <c r="C38" s="2170">
        <v>4764</v>
      </c>
      <c r="D38" s="2170">
        <v>4764</v>
      </c>
      <c r="E38" s="2170">
        <v>4764</v>
      </c>
      <c r="F38" s="2170">
        <v>2593</v>
      </c>
      <c r="G38" s="2170">
        <v>4764</v>
      </c>
      <c r="H38" s="2170">
        <v>4764</v>
      </c>
      <c r="I38" s="2170">
        <v>4764</v>
      </c>
      <c r="J38" s="2170">
        <v>4764</v>
      </c>
      <c r="K38" s="2170">
        <v>4764</v>
      </c>
      <c r="L38" s="1184"/>
      <c r="M38" s="1184"/>
    </row>
    <row r="39" spans="1:13" ht="11.25" customHeight="1" x14ac:dyDescent="0.25">
      <c r="A39" s="1252" t="s">
        <v>378</v>
      </c>
      <c r="B39" s="902"/>
      <c r="C39" s="1956">
        <v>4764</v>
      </c>
      <c r="D39" s="1956">
        <v>4764</v>
      </c>
      <c r="E39" s="1957">
        <v>4764</v>
      </c>
      <c r="F39" s="1958">
        <v>2593</v>
      </c>
      <c r="G39" s="1956">
        <v>4764</v>
      </c>
      <c r="H39" s="1959">
        <v>4764</v>
      </c>
      <c r="I39" s="1960">
        <v>4764</v>
      </c>
      <c r="J39" s="1956">
        <v>4764</v>
      </c>
      <c r="K39" s="1957">
        <v>4764</v>
      </c>
      <c r="L39" s="1184"/>
      <c r="M39" s="1184"/>
    </row>
    <row r="40" spans="1:13" ht="11.25" customHeight="1" x14ac:dyDescent="0.25">
      <c r="A40" s="909" t="s">
        <v>694</v>
      </c>
      <c r="B40" s="902"/>
      <c r="C40" s="2165"/>
      <c r="D40" s="2165"/>
      <c r="E40" s="2166"/>
      <c r="F40" s="2167">
        <v>0</v>
      </c>
      <c r="G40" s="2165"/>
      <c r="H40" s="1776"/>
      <c r="I40" s="2168"/>
      <c r="J40" s="2165"/>
      <c r="K40" s="2166"/>
      <c r="L40" s="1184"/>
      <c r="M40" s="1184"/>
    </row>
    <row r="41" spans="1:13" ht="11.25" customHeight="1" x14ac:dyDescent="0.25">
      <c r="A41" s="909" t="s">
        <v>695</v>
      </c>
      <c r="B41" s="902"/>
      <c r="C41" s="2165"/>
      <c r="D41" s="2165"/>
      <c r="E41" s="2166"/>
      <c r="F41" s="2167">
        <v>0</v>
      </c>
      <c r="G41" s="2165"/>
      <c r="H41" s="1776"/>
      <c r="I41" s="2168"/>
      <c r="J41" s="2165"/>
      <c r="K41" s="2166"/>
      <c r="L41" s="1184"/>
      <c r="M41" s="1184"/>
    </row>
    <row r="42" spans="1:13" ht="11.25" customHeight="1" x14ac:dyDescent="0.25">
      <c r="A42" s="909" t="s">
        <v>885</v>
      </c>
      <c r="B42" s="902"/>
      <c r="C42" s="2165"/>
      <c r="D42" s="2165"/>
      <c r="E42" s="2166"/>
      <c r="F42" s="2167">
        <v>0</v>
      </c>
      <c r="G42" s="2165"/>
      <c r="H42" s="1776"/>
      <c r="I42" s="2168"/>
      <c r="J42" s="2165"/>
      <c r="K42" s="2166"/>
      <c r="L42" s="1184"/>
      <c r="M42" s="1184"/>
    </row>
    <row r="43" spans="1:13" ht="11.25" customHeight="1" x14ac:dyDescent="0.25">
      <c r="A43" s="909" t="s">
        <v>886</v>
      </c>
      <c r="B43" s="902"/>
      <c r="C43" s="2165"/>
      <c r="D43" s="2165"/>
      <c r="E43" s="2166"/>
      <c r="F43" s="2167">
        <v>0</v>
      </c>
      <c r="G43" s="2165"/>
      <c r="H43" s="1776"/>
      <c r="I43" s="2168"/>
      <c r="J43" s="2165"/>
      <c r="K43" s="2166"/>
      <c r="L43" s="1184"/>
      <c r="M43" s="1184"/>
    </row>
    <row r="44" spans="1:13" ht="11.25" customHeight="1" x14ac:dyDescent="0.25">
      <c r="A44" s="909" t="s">
        <v>199</v>
      </c>
      <c r="B44" s="902"/>
      <c r="C44" s="2165"/>
      <c r="D44" s="2165"/>
      <c r="E44" s="2166"/>
      <c r="F44" s="2167">
        <v>0</v>
      </c>
      <c r="G44" s="2165"/>
      <c r="H44" s="1776"/>
      <c r="I44" s="2168"/>
      <c r="J44" s="2165"/>
      <c r="K44" s="2166"/>
      <c r="L44" s="1184"/>
      <c r="M44" s="1184"/>
    </row>
    <row r="45" spans="1:13" ht="11.25" customHeight="1" x14ac:dyDescent="0.25">
      <c r="A45" s="1252" t="s">
        <v>1298</v>
      </c>
      <c r="B45" s="902"/>
      <c r="C45" s="1946">
        <v>0</v>
      </c>
      <c r="D45" s="1946">
        <v>0</v>
      </c>
      <c r="E45" s="1947">
        <v>0</v>
      </c>
      <c r="F45" s="1948">
        <v>0</v>
      </c>
      <c r="G45" s="1946">
        <v>0</v>
      </c>
      <c r="H45" s="1949">
        <v>0</v>
      </c>
      <c r="I45" s="1950">
        <v>0</v>
      </c>
      <c r="J45" s="1946">
        <v>0</v>
      </c>
      <c r="K45" s="1947">
        <v>0</v>
      </c>
      <c r="L45" s="1184"/>
      <c r="M45" s="1184"/>
    </row>
    <row r="46" spans="1:13" ht="11.25" customHeight="1" x14ac:dyDescent="0.25">
      <c r="A46" s="910" t="s">
        <v>1336</v>
      </c>
      <c r="B46" s="902">
        <v>5</v>
      </c>
      <c r="C46" s="1951">
        <v>4764</v>
      </c>
      <c r="D46" s="1951">
        <v>4764</v>
      </c>
      <c r="E46" s="1952">
        <v>4764</v>
      </c>
      <c r="F46" s="1953">
        <v>2593</v>
      </c>
      <c r="G46" s="1951">
        <v>4764</v>
      </c>
      <c r="H46" s="1954">
        <v>4764</v>
      </c>
      <c r="I46" s="1955">
        <v>4764</v>
      </c>
      <c r="J46" s="1951">
        <v>4764</v>
      </c>
      <c r="K46" s="1952">
        <v>4764</v>
      </c>
      <c r="L46" s="1184"/>
      <c r="M46" s="1184"/>
    </row>
    <row r="47" spans="1:13" ht="5.0999999999999996" customHeight="1" x14ac:dyDescent="0.25">
      <c r="A47" s="913"/>
      <c r="B47" s="914"/>
      <c r="C47" s="915"/>
      <c r="D47" s="915"/>
      <c r="E47" s="916"/>
      <c r="F47" s="917"/>
      <c r="G47" s="915"/>
      <c r="H47" s="918"/>
      <c r="I47" s="919"/>
      <c r="J47" s="915"/>
      <c r="K47" s="916"/>
      <c r="L47" s="1184"/>
      <c r="M47" s="1184"/>
    </row>
    <row r="48" spans="1:13" ht="15.75" customHeight="1" x14ac:dyDescent="0.25">
      <c r="A48" s="901" t="s">
        <v>200</v>
      </c>
      <c r="B48" s="902">
        <v>7</v>
      </c>
      <c r="C48" s="852"/>
      <c r="D48" s="852"/>
      <c r="E48" s="920"/>
      <c r="F48" s="885"/>
      <c r="G48" s="852"/>
      <c r="H48" s="855"/>
      <c r="I48" s="856"/>
      <c r="J48" s="852"/>
      <c r="K48" s="853"/>
      <c r="L48" s="1184"/>
      <c r="M48" s="1184"/>
    </row>
    <row r="49" spans="1:13" ht="11.25" customHeight="1" x14ac:dyDescent="0.25">
      <c r="A49" s="909" t="s">
        <v>1319</v>
      </c>
      <c r="B49" s="902"/>
      <c r="C49" s="2165">
        <v>1776</v>
      </c>
      <c r="D49" s="2165">
        <v>1693</v>
      </c>
      <c r="E49" s="2171">
        <v>1598</v>
      </c>
      <c r="F49" s="2168">
        <v>0</v>
      </c>
      <c r="G49" s="2165">
        <v>1461</v>
      </c>
      <c r="H49" s="2171">
        <v>1461</v>
      </c>
      <c r="I49" s="2168">
        <v>1332</v>
      </c>
      <c r="J49" s="2165">
        <v>1281</v>
      </c>
      <c r="K49" s="2171">
        <v>1150</v>
      </c>
      <c r="L49" s="1184"/>
      <c r="M49" s="1184"/>
    </row>
    <row r="50" spans="1:13" ht="11.25" customHeight="1" x14ac:dyDescent="0.25">
      <c r="A50" s="909" t="s">
        <v>379</v>
      </c>
      <c r="B50" s="902"/>
      <c r="C50" s="2165">
        <v>1776</v>
      </c>
      <c r="D50" s="2165">
        <v>1693</v>
      </c>
      <c r="E50" s="2171">
        <v>1598</v>
      </c>
      <c r="F50" s="2168">
        <v>0</v>
      </c>
      <c r="G50" s="2165">
        <v>1461</v>
      </c>
      <c r="H50" s="2171">
        <v>1461</v>
      </c>
      <c r="I50" s="2168">
        <v>1332</v>
      </c>
      <c r="J50" s="2165">
        <v>1281</v>
      </c>
      <c r="K50" s="2171">
        <v>1150</v>
      </c>
      <c r="L50" s="1184"/>
      <c r="M50" s="1184"/>
    </row>
    <row r="51" spans="1:13" ht="11.25" customHeight="1" x14ac:dyDescent="0.25">
      <c r="A51" s="909" t="s">
        <v>1321</v>
      </c>
      <c r="B51" s="902"/>
      <c r="C51" s="2165">
        <v>1776</v>
      </c>
      <c r="D51" s="2165">
        <v>1693</v>
      </c>
      <c r="E51" s="2171">
        <v>1598</v>
      </c>
      <c r="F51" s="2168">
        <v>0</v>
      </c>
      <c r="G51" s="2165">
        <v>1461</v>
      </c>
      <c r="H51" s="2171">
        <v>1461</v>
      </c>
      <c r="I51" s="2168">
        <v>1332</v>
      </c>
      <c r="J51" s="2165">
        <v>1281</v>
      </c>
      <c r="K51" s="2171">
        <v>1150</v>
      </c>
      <c r="L51" s="1184"/>
      <c r="M51" s="1184"/>
    </row>
    <row r="52" spans="1:13" ht="11.25" customHeight="1" x14ac:dyDescent="0.25">
      <c r="A52" s="1068" t="s">
        <v>380</v>
      </c>
      <c r="B52" s="914"/>
      <c r="C52" s="2165">
        <v>1776</v>
      </c>
      <c r="D52" s="2165">
        <v>1693</v>
      </c>
      <c r="E52" s="2171">
        <v>1598</v>
      </c>
      <c r="F52" s="2172">
        <v>0</v>
      </c>
      <c r="G52" s="2165">
        <v>1461</v>
      </c>
      <c r="H52" s="2171">
        <v>1461</v>
      </c>
      <c r="I52" s="2168">
        <v>1332</v>
      </c>
      <c r="J52" s="2165">
        <v>1281</v>
      </c>
      <c r="K52" s="2171">
        <v>1150</v>
      </c>
      <c r="L52" s="1184"/>
      <c r="M52" s="1184"/>
    </row>
    <row r="53" spans="1:13" ht="4.5" customHeight="1" x14ac:dyDescent="0.25">
      <c r="A53" s="922"/>
      <c r="B53" s="902"/>
      <c r="C53" s="852"/>
      <c r="D53" s="852"/>
      <c r="E53" s="923"/>
      <c r="F53" s="856">
        <v>0</v>
      </c>
      <c r="G53" s="852"/>
      <c r="H53" s="855"/>
      <c r="I53" s="856"/>
      <c r="J53" s="852"/>
      <c r="K53" s="923"/>
      <c r="L53" s="1184"/>
      <c r="M53" s="1184"/>
    </row>
    <row r="54" spans="1:13" ht="11.25" customHeight="1" x14ac:dyDescent="0.25">
      <c r="A54" s="1069" t="s">
        <v>394</v>
      </c>
      <c r="B54" s="902">
        <v>8</v>
      </c>
      <c r="C54" s="1030"/>
      <c r="D54" s="1030"/>
      <c r="E54" s="1065"/>
      <c r="F54" s="1066"/>
      <c r="G54" s="1030"/>
      <c r="H54" s="1067"/>
      <c r="I54" s="1031"/>
      <c r="J54" s="1030"/>
      <c r="K54" s="1065"/>
      <c r="L54" s="1184"/>
      <c r="M54" s="1184"/>
    </row>
    <row r="55" spans="1:13" ht="11.25" customHeight="1" x14ac:dyDescent="0.25">
      <c r="A55" s="909" t="s">
        <v>1319</v>
      </c>
      <c r="B55" s="902"/>
      <c r="C55" s="1030">
        <v>379779.83999999997</v>
      </c>
      <c r="D55" s="1030">
        <v>383972.39999999997</v>
      </c>
      <c r="E55" s="1065">
        <v>385437.60000000003</v>
      </c>
      <c r="F55" s="1066">
        <v>0</v>
      </c>
      <c r="G55" s="1030">
        <v>373431.6</v>
      </c>
      <c r="H55" s="1067">
        <v>373431.6</v>
      </c>
      <c r="I55" s="1031">
        <v>360599.03999999998</v>
      </c>
      <c r="J55" s="1030">
        <v>368005.68000000005</v>
      </c>
      <c r="K55" s="1065">
        <v>349416</v>
      </c>
      <c r="L55" s="1184"/>
      <c r="M55" s="1184"/>
    </row>
    <row r="56" spans="1:13" ht="11.25" customHeight="1" x14ac:dyDescent="0.25">
      <c r="A56" s="909" t="s">
        <v>1320</v>
      </c>
      <c r="B56" s="902"/>
      <c r="C56" s="1030">
        <v>1449216</v>
      </c>
      <c r="D56" s="1030">
        <v>1471894.2000000002</v>
      </c>
      <c r="E56" s="1065">
        <v>1472716.7999999998</v>
      </c>
      <c r="F56" s="1066">
        <v>0</v>
      </c>
      <c r="G56" s="1030">
        <v>1427104.8</v>
      </c>
      <c r="H56" s="1067">
        <v>1427104.8</v>
      </c>
      <c r="I56" s="1031">
        <v>1379419.2</v>
      </c>
      <c r="J56" s="1030">
        <v>1406538</v>
      </c>
      <c r="K56" s="1065">
        <v>1338600</v>
      </c>
      <c r="L56" s="1184"/>
      <c r="M56" s="1184"/>
    </row>
    <row r="57" spans="1:13" ht="11.25" customHeight="1" x14ac:dyDescent="0.25">
      <c r="A57" s="909" t="s">
        <v>1321</v>
      </c>
      <c r="B57" s="902"/>
      <c r="C57" s="1030">
        <v>717788.16000000003</v>
      </c>
      <c r="D57" s="1030">
        <v>869016.89999999991</v>
      </c>
      <c r="E57" s="1065">
        <v>829745.5199999999</v>
      </c>
      <c r="F57" s="1066">
        <v>0</v>
      </c>
      <c r="G57" s="1030">
        <v>913154.22</v>
      </c>
      <c r="H57" s="1067">
        <v>913154.22</v>
      </c>
      <c r="I57" s="1031">
        <v>924354.7200000002</v>
      </c>
      <c r="J57" s="1030">
        <v>995644.44000000018</v>
      </c>
      <c r="K57" s="1065">
        <v>1001052</v>
      </c>
      <c r="L57" s="1184"/>
      <c r="M57" s="1184"/>
    </row>
    <row r="58" spans="1:13" ht="11.25" customHeight="1" x14ac:dyDescent="0.25">
      <c r="A58" s="909" t="s">
        <v>1322</v>
      </c>
      <c r="B58" s="902"/>
      <c r="C58" s="1030">
        <v>1449216</v>
      </c>
      <c r="D58" s="1030">
        <v>1471894.2000000002</v>
      </c>
      <c r="E58" s="1065">
        <v>1472716.7999999998</v>
      </c>
      <c r="F58" s="1066">
        <v>0</v>
      </c>
      <c r="G58" s="1030">
        <v>1427104.8</v>
      </c>
      <c r="H58" s="1067">
        <v>1427104.8</v>
      </c>
      <c r="I58" s="1031">
        <v>1379419.2</v>
      </c>
      <c r="J58" s="1030">
        <v>1406538</v>
      </c>
      <c r="K58" s="1065">
        <v>1338600</v>
      </c>
      <c r="L58" s="1184"/>
      <c r="M58" s="1184"/>
    </row>
    <row r="59" spans="1:13" ht="11.25" customHeight="1" x14ac:dyDescent="0.25">
      <c r="A59" s="1070" t="s">
        <v>746</v>
      </c>
      <c r="B59" s="914"/>
      <c r="C59" s="1071">
        <v>3996000</v>
      </c>
      <c r="D59" s="1071">
        <v>4196777.7</v>
      </c>
      <c r="E59" s="1072">
        <v>4160616.7199999997</v>
      </c>
      <c r="F59" s="1073">
        <v>0</v>
      </c>
      <c r="G59" s="1071">
        <v>4140795.42</v>
      </c>
      <c r="H59" s="1074">
        <v>4140795.42</v>
      </c>
      <c r="I59" s="1075">
        <v>4043792.16</v>
      </c>
      <c r="J59" s="1071">
        <v>4176726.12</v>
      </c>
      <c r="K59" s="1072">
        <v>4027668</v>
      </c>
      <c r="L59" s="1184"/>
      <c r="M59" s="1184"/>
    </row>
    <row r="60" spans="1:13" ht="3.75" customHeight="1" x14ac:dyDescent="0.25">
      <c r="A60" s="956"/>
      <c r="B60" s="902"/>
      <c r="C60" s="903"/>
      <c r="D60" s="903"/>
      <c r="E60" s="904"/>
      <c r="F60" s="905"/>
      <c r="G60" s="903"/>
      <c r="H60" s="906"/>
      <c r="I60" s="907"/>
      <c r="J60" s="903"/>
      <c r="K60" s="904"/>
      <c r="L60" s="1184"/>
      <c r="M60" s="1184"/>
    </row>
    <row r="61" spans="1:13" ht="11.25" customHeight="1" x14ac:dyDescent="0.25">
      <c r="A61" s="901" t="s">
        <v>743</v>
      </c>
      <c r="B61" s="902"/>
      <c r="C61" s="852"/>
      <c r="D61" s="852"/>
      <c r="E61" s="853"/>
      <c r="F61" s="854"/>
      <c r="G61" s="852"/>
      <c r="H61" s="855"/>
      <c r="I61" s="856"/>
      <c r="J61" s="852"/>
      <c r="K61" s="853"/>
      <c r="L61" s="1184"/>
      <c r="M61" s="1184"/>
    </row>
    <row r="62" spans="1:13" ht="11.25" customHeight="1" x14ac:dyDescent="0.25">
      <c r="A62" s="909" t="s">
        <v>1920</v>
      </c>
      <c r="B62" s="902"/>
      <c r="C62" s="2165">
        <v>0</v>
      </c>
      <c r="D62" s="2165">
        <v>15000</v>
      </c>
      <c r="E62" s="2166">
        <v>15000</v>
      </c>
      <c r="F62" s="2173">
        <v>0</v>
      </c>
      <c r="G62" s="2165">
        <v>15000</v>
      </c>
      <c r="H62" s="1776">
        <v>15000</v>
      </c>
      <c r="I62" s="2168">
        <v>15000</v>
      </c>
      <c r="J62" s="2165">
        <v>15000</v>
      </c>
      <c r="K62" s="2166">
        <v>15000</v>
      </c>
      <c r="L62" s="1184"/>
      <c r="M62" s="1184"/>
    </row>
    <row r="63" spans="1:13" ht="11.25" customHeight="1" x14ac:dyDescent="0.25">
      <c r="A63" s="909" t="s">
        <v>1414</v>
      </c>
      <c r="B63" s="902"/>
      <c r="C63" s="2165">
        <v>6</v>
      </c>
      <c r="D63" s="1587">
        <v>6</v>
      </c>
      <c r="E63" s="2174">
        <v>6</v>
      </c>
      <c r="F63" s="2173">
        <v>0</v>
      </c>
      <c r="G63" s="1587">
        <v>6</v>
      </c>
      <c r="H63" s="1588">
        <v>6</v>
      </c>
      <c r="I63" s="2175">
        <v>6</v>
      </c>
      <c r="J63" s="2165">
        <v>6</v>
      </c>
      <c r="K63" s="2166">
        <v>6</v>
      </c>
      <c r="L63" s="1184"/>
      <c r="M63" s="1184"/>
    </row>
    <row r="64" spans="1:13" ht="11.25" customHeight="1" x14ac:dyDescent="0.25">
      <c r="A64" s="909" t="s">
        <v>1415</v>
      </c>
      <c r="B64" s="902"/>
      <c r="C64" s="2165">
        <v>6</v>
      </c>
      <c r="D64" s="2165">
        <v>6</v>
      </c>
      <c r="E64" s="2166">
        <v>6</v>
      </c>
      <c r="F64" s="2173">
        <v>0</v>
      </c>
      <c r="G64" s="1587">
        <v>6</v>
      </c>
      <c r="H64" s="1588">
        <v>6</v>
      </c>
      <c r="I64" s="2168">
        <v>6</v>
      </c>
      <c r="J64" s="2165">
        <v>6</v>
      </c>
      <c r="K64" s="2166">
        <v>6</v>
      </c>
      <c r="L64" s="1184"/>
      <c r="M64" s="1184"/>
    </row>
    <row r="65" spans="1:13" ht="11.25" customHeight="1" x14ac:dyDescent="0.25">
      <c r="A65" s="909" t="s">
        <v>688</v>
      </c>
      <c r="B65" s="902"/>
      <c r="C65" s="2165">
        <v>6000</v>
      </c>
      <c r="D65" s="2165">
        <v>6000</v>
      </c>
      <c r="E65" s="2166">
        <v>76.8</v>
      </c>
      <c r="F65" s="2173">
        <v>0</v>
      </c>
      <c r="G65" s="1587">
        <v>81.400000000000006</v>
      </c>
      <c r="H65" s="1588">
        <v>81.400000000000006</v>
      </c>
      <c r="I65" s="2168">
        <v>86.3</v>
      </c>
      <c r="J65" s="2165">
        <v>91.5</v>
      </c>
      <c r="K65" s="2166">
        <v>97</v>
      </c>
      <c r="L65" s="1184"/>
      <c r="M65" s="1184"/>
    </row>
    <row r="66" spans="1:13" ht="11.25" customHeight="1" x14ac:dyDescent="0.25">
      <c r="A66" s="909" t="s">
        <v>381</v>
      </c>
      <c r="B66" s="902"/>
      <c r="C66" s="2165">
        <v>50</v>
      </c>
      <c r="D66" s="1587">
        <v>50</v>
      </c>
      <c r="E66" s="2174">
        <v>50</v>
      </c>
      <c r="F66" s="2173">
        <v>0</v>
      </c>
      <c r="G66" s="1587">
        <v>50</v>
      </c>
      <c r="H66" s="1588">
        <v>50</v>
      </c>
      <c r="I66" s="2175">
        <v>50</v>
      </c>
      <c r="J66" s="2165">
        <v>50</v>
      </c>
      <c r="K66" s="2166">
        <v>50</v>
      </c>
      <c r="L66" s="1184"/>
      <c r="M66" s="1184"/>
    </row>
    <row r="67" spans="1:13" ht="11.25" customHeight="1" x14ac:dyDescent="0.25">
      <c r="A67" s="921" t="s">
        <v>692</v>
      </c>
      <c r="B67" s="914"/>
      <c r="C67" s="2170"/>
      <c r="D67" s="2170"/>
      <c r="E67" s="2176"/>
      <c r="F67" s="2177">
        <v>0</v>
      </c>
      <c r="G67" s="2178"/>
      <c r="H67" s="2179"/>
      <c r="I67" s="2172"/>
      <c r="J67" s="2170"/>
      <c r="K67" s="2176"/>
      <c r="L67" s="1184"/>
      <c r="M67" s="1184"/>
    </row>
    <row r="68" spans="1:13" ht="15.75" customHeight="1" x14ac:dyDescent="0.25">
      <c r="A68" s="901" t="s">
        <v>382</v>
      </c>
      <c r="B68" s="902">
        <v>9</v>
      </c>
      <c r="C68" s="852"/>
      <c r="D68" s="852"/>
      <c r="E68" s="853"/>
      <c r="F68" s="854"/>
      <c r="G68" s="852"/>
      <c r="H68" s="855"/>
      <c r="I68" s="856"/>
      <c r="J68" s="852"/>
      <c r="K68" s="853"/>
      <c r="L68" s="1184"/>
      <c r="M68" s="1184"/>
    </row>
    <row r="69" spans="1:13" ht="11.25" customHeight="1" x14ac:dyDescent="0.25">
      <c r="A69" s="909" t="s">
        <v>383</v>
      </c>
      <c r="B69" s="902"/>
      <c r="C69" s="1030">
        <v>0</v>
      </c>
      <c r="D69" s="1030">
        <v>511799.85000000003</v>
      </c>
      <c r="E69" s="1065">
        <v>485763.75000000006</v>
      </c>
      <c r="F69" s="1066">
        <v>0</v>
      </c>
      <c r="G69" s="1030">
        <v>525477.6</v>
      </c>
      <c r="H69" s="1067">
        <v>525477.6</v>
      </c>
      <c r="I69" s="1031">
        <v>556912.80000000005</v>
      </c>
      <c r="J69" s="1030">
        <v>646767</v>
      </c>
      <c r="K69" s="1065">
        <v>685386.89999999991</v>
      </c>
      <c r="L69" s="1184"/>
      <c r="M69" s="1184"/>
    </row>
    <row r="70" spans="1:13" ht="24" customHeight="1" x14ac:dyDescent="0.25">
      <c r="A70" s="1968" t="s">
        <v>744</v>
      </c>
      <c r="B70" s="902"/>
      <c r="C70" s="1030">
        <v>0</v>
      </c>
      <c r="D70" s="1030">
        <v>1220877.7717499998</v>
      </c>
      <c r="E70" s="1065">
        <v>638667.21</v>
      </c>
      <c r="F70" s="1066">
        <v>0</v>
      </c>
      <c r="G70" s="1066">
        <v>271509.71000000002</v>
      </c>
      <c r="H70" s="1066">
        <v>221509.71000000002</v>
      </c>
      <c r="I70" s="1031">
        <v>0</v>
      </c>
      <c r="J70" s="1030">
        <v>0</v>
      </c>
      <c r="K70" s="1065">
        <v>0</v>
      </c>
      <c r="L70" s="1184"/>
      <c r="M70" s="1184"/>
    </row>
    <row r="71" spans="1:13" ht="11.25" customHeight="1" x14ac:dyDescent="0.25">
      <c r="A71" s="909" t="s">
        <v>958</v>
      </c>
      <c r="B71" s="902"/>
      <c r="C71" s="1030">
        <v>434391.84</v>
      </c>
      <c r="D71" s="1030">
        <v>439164.2</v>
      </c>
      <c r="E71" s="1065">
        <v>437692.19999999995</v>
      </c>
      <c r="F71" s="1066">
        <v>0</v>
      </c>
      <c r="G71" s="1030">
        <v>373431.6</v>
      </c>
      <c r="H71" s="1067">
        <v>373431.6</v>
      </c>
      <c r="I71" s="1031">
        <v>409616.63999999996</v>
      </c>
      <c r="J71" s="1030">
        <v>417964.68</v>
      </c>
      <c r="K71" s="1065">
        <v>396968.5</v>
      </c>
      <c r="L71" s="1184"/>
      <c r="M71" s="1184"/>
    </row>
    <row r="72" spans="1:13" ht="11.25" customHeight="1" x14ac:dyDescent="0.25">
      <c r="A72" s="909" t="s">
        <v>959</v>
      </c>
      <c r="B72" s="902"/>
      <c r="C72" s="1030">
        <v>1449216</v>
      </c>
      <c r="D72" s="1030">
        <v>1471894.2000000002</v>
      </c>
      <c r="E72" s="1065">
        <v>1472716.7999999998</v>
      </c>
      <c r="F72" s="1066">
        <v>0</v>
      </c>
      <c r="G72" s="1030">
        <v>1427104.8</v>
      </c>
      <c r="H72" s="1067">
        <v>1427104.8</v>
      </c>
      <c r="I72" s="1031">
        <v>1379419.2</v>
      </c>
      <c r="J72" s="1030">
        <v>1406538</v>
      </c>
      <c r="K72" s="1065">
        <v>1338600</v>
      </c>
      <c r="L72" s="1184"/>
      <c r="M72" s="1184"/>
    </row>
    <row r="73" spans="1:13" ht="11.25" customHeight="1" x14ac:dyDescent="0.25">
      <c r="A73" s="909" t="s">
        <v>1825</v>
      </c>
      <c r="B73" s="902"/>
      <c r="C73" s="1030">
        <v>717788.16000000003</v>
      </c>
      <c r="D73" s="1030">
        <v>869016.89999999991</v>
      </c>
      <c r="E73" s="1065">
        <v>829745.5199999999</v>
      </c>
      <c r="F73" s="1066">
        <v>0</v>
      </c>
      <c r="G73" s="1030">
        <v>913154.22</v>
      </c>
      <c r="H73" s="1067">
        <v>913154.22</v>
      </c>
      <c r="I73" s="1031">
        <v>924354.7200000002</v>
      </c>
      <c r="J73" s="1030">
        <v>995644.44000000018</v>
      </c>
      <c r="K73" s="1065">
        <v>1001052</v>
      </c>
      <c r="L73" s="1184"/>
      <c r="M73" s="1184"/>
    </row>
    <row r="74" spans="1:13" ht="11.25" customHeight="1" x14ac:dyDescent="0.25">
      <c r="A74" s="909" t="s">
        <v>1295</v>
      </c>
      <c r="B74" s="902"/>
      <c r="C74" s="1030">
        <v>1449216</v>
      </c>
      <c r="D74" s="1030">
        <v>1471894.2000000002</v>
      </c>
      <c r="E74" s="1065">
        <v>1472716.7999999998</v>
      </c>
      <c r="F74" s="1066">
        <v>0</v>
      </c>
      <c r="G74" s="1030">
        <v>1427104.8</v>
      </c>
      <c r="H74" s="1067">
        <v>1427104.8</v>
      </c>
      <c r="I74" s="1031">
        <v>1379419.2</v>
      </c>
      <c r="J74" s="1030">
        <v>1406538</v>
      </c>
      <c r="K74" s="1065">
        <v>1338600</v>
      </c>
      <c r="L74" s="1184"/>
      <c r="M74" s="1184"/>
    </row>
    <row r="75" spans="1:13" ht="11.25" customHeight="1" x14ac:dyDescent="0.25">
      <c r="A75" s="909" t="s">
        <v>384</v>
      </c>
      <c r="B75" s="902"/>
      <c r="C75" s="1030"/>
      <c r="D75" s="1030"/>
      <c r="E75" s="1065"/>
      <c r="F75" s="1066">
        <v>0</v>
      </c>
      <c r="G75" s="1030"/>
      <c r="H75" s="1067"/>
      <c r="I75" s="1031"/>
      <c r="J75" s="1030"/>
      <c r="K75" s="1065"/>
      <c r="L75" s="1184"/>
      <c r="M75" s="1184"/>
    </row>
    <row r="76" spans="1:13" ht="11.25" customHeight="1" x14ac:dyDescent="0.25">
      <c r="A76" s="909" t="s">
        <v>385</v>
      </c>
      <c r="B76" s="902">
        <v>6</v>
      </c>
      <c r="C76" s="1030"/>
      <c r="D76" s="1030"/>
      <c r="E76" s="1065"/>
      <c r="F76" s="1066">
        <v>0</v>
      </c>
      <c r="G76" s="1030"/>
      <c r="H76" s="1067"/>
      <c r="I76" s="1031"/>
      <c r="J76" s="1030"/>
      <c r="K76" s="1065"/>
      <c r="L76" s="1184"/>
      <c r="M76" s="1184"/>
    </row>
    <row r="77" spans="1:13" ht="11.25" customHeight="1" x14ac:dyDescent="0.25">
      <c r="A77" s="909" t="s">
        <v>293</v>
      </c>
      <c r="B77" s="902"/>
      <c r="C77" s="1030"/>
      <c r="D77" s="1030"/>
      <c r="E77" s="1065"/>
      <c r="F77" s="1066">
        <v>0</v>
      </c>
      <c r="G77" s="1030"/>
      <c r="H77" s="1067"/>
      <c r="I77" s="1031"/>
      <c r="J77" s="1030"/>
      <c r="K77" s="1065"/>
      <c r="L77" s="1184"/>
      <c r="M77" s="1184"/>
    </row>
    <row r="78" spans="1:13" ht="25.5" x14ac:dyDescent="0.25">
      <c r="A78" s="1156" t="s">
        <v>386</v>
      </c>
      <c r="B78" s="924"/>
      <c r="C78" s="925">
        <v>4050612</v>
      </c>
      <c r="D78" s="925">
        <v>5984647.1217499999</v>
      </c>
      <c r="E78" s="926">
        <v>5337302.2799999993</v>
      </c>
      <c r="F78" s="927">
        <v>0</v>
      </c>
      <c r="G78" s="925">
        <v>4937782.13</v>
      </c>
      <c r="H78" s="928">
        <v>4887782.7299999995</v>
      </c>
      <c r="I78" s="929">
        <v>4649722.5599999996</v>
      </c>
      <c r="J78" s="925">
        <v>4873452.12</v>
      </c>
      <c r="K78" s="926">
        <v>4760607.4000000004</v>
      </c>
      <c r="L78" s="1184"/>
      <c r="M78" s="1184"/>
    </row>
    <row r="79" spans="1:13" ht="11.25" customHeight="1" x14ac:dyDescent="0.25">
      <c r="A79" s="930" t="s">
        <v>986</v>
      </c>
      <c r="B79" s="623"/>
      <c r="L79" s="1184"/>
      <c r="M79" s="1184"/>
    </row>
    <row r="80" spans="1:13" ht="11.25" customHeight="1" x14ac:dyDescent="0.25">
      <c r="A80" s="931" t="s">
        <v>512</v>
      </c>
      <c r="B80" s="623"/>
    </row>
    <row r="81" spans="1:11" ht="11.25" customHeight="1" x14ac:dyDescent="0.25">
      <c r="A81" s="931" t="s">
        <v>513</v>
      </c>
      <c r="B81" s="623"/>
    </row>
    <row r="82" spans="1:11" ht="11.25" customHeight="1" x14ac:dyDescent="0.25">
      <c r="A82" s="931" t="s">
        <v>514</v>
      </c>
      <c r="B82" s="623"/>
    </row>
    <row r="83" spans="1:11" ht="11.25" customHeight="1" x14ac:dyDescent="0.25">
      <c r="A83" s="931" t="s">
        <v>515</v>
      </c>
      <c r="B83" s="932"/>
      <c r="C83" s="932"/>
      <c r="D83" s="932"/>
      <c r="E83" s="932"/>
      <c r="F83" s="932"/>
      <c r="G83" s="932"/>
      <c r="H83" s="932"/>
      <c r="I83" s="932"/>
      <c r="J83" s="932"/>
      <c r="K83" s="932"/>
    </row>
    <row r="84" spans="1:11" ht="11.25" customHeight="1" x14ac:dyDescent="0.25">
      <c r="A84" s="931" t="s">
        <v>516</v>
      </c>
      <c r="B84" s="932"/>
      <c r="C84" s="932"/>
      <c r="D84" s="932"/>
      <c r="E84" s="932"/>
      <c r="F84" s="932"/>
      <c r="G84" s="932"/>
      <c r="H84" s="932"/>
      <c r="I84" s="932"/>
      <c r="J84" s="932"/>
      <c r="K84" s="932"/>
    </row>
    <row r="85" spans="1:11" ht="11.25" customHeight="1" x14ac:dyDescent="0.25">
      <c r="A85" s="931" t="s">
        <v>517</v>
      </c>
      <c r="B85" s="932"/>
      <c r="C85" s="932"/>
      <c r="D85" s="932"/>
      <c r="E85" s="932"/>
      <c r="F85" s="932"/>
      <c r="G85" s="932"/>
      <c r="H85" s="932"/>
      <c r="I85" s="932"/>
      <c r="J85" s="932"/>
      <c r="K85" s="932"/>
    </row>
    <row r="86" spans="1:11" ht="11.25" customHeight="1" x14ac:dyDescent="0.25">
      <c r="A86" s="931" t="s">
        <v>747</v>
      </c>
      <c r="B86" s="932"/>
      <c r="C86" s="932"/>
      <c r="D86" s="932"/>
      <c r="E86" s="932"/>
      <c r="F86" s="932"/>
      <c r="G86" s="932"/>
      <c r="H86" s="932"/>
      <c r="I86" s="932"/>
      <c r="J86" s="932"/>
      <c r="K86" s="932"/>
    </row>
    <row r="87" spans="1:11" ht="11.25" customHeight="1" x14ac:dyDescent="0.25">
      <c r="A87" s="931" t="s">
        <v>823</v>
      </c>
      <c r="B87" s="932"/>
      <c r="C87" s="932"/>
      <c r="D87" s="932"/>
      <c r="E87" s="932"/>
      <c r="F87" s="932"/>
      <c r="G87" s="932"/>
      <c r="H87" s="932"/>
      <c r="I87" s="932"/>
      <c r="J87" s="932"/>
      <c r="K87" s="932"/>
    </row>
    <row r="88" spans="1:11" ht="11.25" customHeight="1" x14ac:dyDescent="0.25">
      <c r="A88" s="931" t="s">
        <v>1554</v>
      </c>
      <c r="B88" s="931"/>
      <c r="C88" s="932"/>
      <c r="D88" s="932"/>
      <c r="E88" s="932"/>
      <c r="F88" s="932"/>
      <c r="G88" s="932"/>
      <c r="H88" s="932"/>
      <c r="I88" s="932"/>
      <c r="J88" s="932"/>
      <c r="K88" s="932"/>
    </row>
    <row r="89" spans="1:11" ht="11.25" customHeight="1" x14ac:dyDescent="0.25">
      <c r="A89" s="932"/>
      <c r="B89" s="932"/>
      <c r="C89" s="932"/>
      <c r="D89" s="932"/>
      <c r="E89" s="932"/>
      <c r="F89" s="932"/>
      <c r="G89" s="932"/>
      <c r="H89" s="932"/>
      <c r="I89" s="932"/>
      <c r="J89" s="932"/>
      <c r="K89" s="932"/>
    </row>
    <row r="90" spans="1:11" ht="11.25" customHeight="1" x14ac:dyDescent="0.25">
      <c r="A90" s="932"/>
      <c r="B90" s="932"/>
      <c r="C90" s="932"/>
      <c r="D90" s="932"/>
      <c r="E90" s="932"/>
      <c r="F90" s="932"/>
      <c r="G90" s="932"/>
      <c r="H90" s="932"/>
      <c r="I90" s="932"/>
      <c r="J90" s="932"/>
      <c r="K90" s="932"/>
    </row>
    <row r="91" spans="1:11" ht="11.25" customHeight="1" x14ac:dyDescent="0.25">
      <c r="A91" s="1969" t="s">
        <v>2243</v>
      </c>
      <c r="B91" s="932"/>
      <c r="D91" s="932"/>
      <c r="E91" s="932"/>
      <c r="F91" s="932"/>
      <c r="G91" s="932"/>
      <c r="H91" s="932"/>
      <c r="I91" s="932"/>
      <c r="J91" s="932"/>
      <c r="K91" s="932"/>
    </row>
    <row r="92" spans="1:11" ht="11.25" customHeight="1" x14ac:dyDescent="0.25">
      <c r="A92" s="1970" t="s">
        <v>2241</v>
      </c>
      <c r="B92" s="932"/>
      <c r="C92" s="1959">
        <v>5050</v>
      </c>
      <c r="D92" s="1959">
        <v>5050</v>
      </c>
      <c r="E92" s="1959">
        <v>5030</v>
      </c>
      <c r="F92" s="1959">
        <v>5212</v>
      </c>
      <c r="G92" s="1959">
        <v>5232</v>
      </c>
      <c r="H92" s="1959">
        <v>5232</v>
      </c>
      <c r="I92" s="1959">
        <v>5232</v>
      </c>
      <c r="J92" s="1959">
        <v>5232</v>
      </c>
      <c r="K92" s="1959">
        <v>5232</v>
      </c>
    </row>
    <row r="93" spans="1:11" ht="11.25" customHeight="1" x14ac:dyDescent="0.25">
      <c r="A93" s="1970" t="s">
        <v>959</v>
      </c>
      <c r="B93" s="932"/>
      <c r="C93" s="1959">
        <v>6121</v>
      </c>
      <c r="D93" s="1959">
        <v>4513</v>
      </c>
      <c r="E93" s="1959">
        <v>4513</v>
      </c>
      <c r="F93" s="1959">
        <v>1979</v>
      </c>
      <c r="G93" s="1959">
        <v>1979</v>
      </c>
      <c r="H93" s="1959">
        <v>1979</v>
      </c>
      <c r="I93" s="1959">
        <v>2931</v>
      </c>
      <c r="J93" s="1959">
        <v>2708</v>
      </c>
      <c r="K93" s="1959">
        <v>0</v>
      </c>
    </row>
    <row r="94" spans="1:11" ht="11.25" customHeight="1" x14ac:dyDescent="0.25">
      <c r="A94" s="1970" t="s">
        <v>2242</v>
      </c>
      <c r="B94" s="932"/>
      <c r="C94" s="1959">
        <v>2683</v>
      </c>
      <c r="D94" s="1959">
        <v>2571</v>
      </c>
      <c r="E94" s="1959">
        <v>2621</v>
      </c>
      <c r="F94" s="1959">
        <v>2521</v>
      </c>
      <c r="G94" s="1959">
        <v>2521</v>
      </c>
      <c r="H94" s="1959">
        <v>2521</v>
      </c>
      <c r="I94" s="1959">
        <v>2511</v>
      </c>
      <c r="J94" s="1959">
        <v>2511</v>
      </c>
      <c r="K94" s="1959">
        <v>2511</v>
      </c>
    </row>
    <row r="95" spans="1:11" ht="11.25" customHeight="1" x14ac:dyDescent="0.25">
      <c r="A95" s="1970" t="s">
        <v>1295</v>
      </c>
      <c r="B95" s="932"/>
      <c r="C95" s="1959">
        <v>4764</v>
      </c>
      <c r="D95" s="1959">
        <v>4764</v>
      </c>
      <c r="E95" s="1959">
        <v>4764</v>
      </c>
      <c r="F95" s="1959">
        <v>4764</v>
      </c>
      <c r="G95" s="1959">
        <v>4764</v>
      </c>
      <c r="H95" s="1959">
        <v>4764</v>
      </c>
      <c r="I95" s="1959">
        <v>4764</v>
      </c>
      <c r="J95" s="1959">
        <v>4764</v>
      </c>
      <c r="K95" s="1959">
        <v>4764</v>
      </c>
    </row>
    <row r="96" spans="1:11" ht="11.25" customHeight="1" x14ac:dyDescent="0.25">
      <c r="A96" s="932"/>
      <c r="B96" s="932"/>
      <c r="C96" s="932"/>
      <c r="D96" s="932"/>
      <c r="E96" s="932"/>
      <c r="F96" s="932"/>
      <c r="G96" s="932"/>
      <c r="H96" s="932"/>
      <c r="I96" s="932"/>
      <c r="J96" s="932"/>
      <c r="K96" s="932"/>
    </row>
    <row r="97" spans="1:11" ht="11.25" customHeight="1" x14ac:dyDescent="0.25">
      <c r="A97" s="932"/>
      <c r="B97" s="932"/>
      <c r="C97" s="932"/>
      <c r="D97" s="932"/>
      <c r="E97" s="932"/>
      <c r="F97" s="932"/>
      <c r="G97" s="932"/>
      <c r="H97" s="932"/>
      <c r="I97" s="932"/>
      <c r="J97" s="932"/>
      <c r="K97" s="932"/>
    </row>
    <row r="98" spans="1:11" ht="11.25" customHeight="1" x14ac:dyDescent="0.25">
      <c r="A98" s="932"/>
      <c r="B98" s="932"/>
      <c r="C98" s="932"/>
      <c r="D98" s="932"/>
      <c r="E98" s="932"/>
      <c r="F98" s="932"/>
      <c r="G98" s="932"/>
      <c r="H98" s="932"/>
      <c r="I98" s="932"/>
      <c r="J98" s="932"/>
      <c r="K98" s="932"/>
    </row>
    <row r="99" spans="1:11" ht="11.25" customHeight="1" x14ac:dyDescent="0.25">
      <c r="B99" s="623"/>
    </row>
    <row r="100" spans="1:11" ht="11.25" customHeight="1" x14ac:dyDescent="0.25">
      <c r="B100" s="623"/>
    </row>
    <row r="101" spans="1:11" ht="11.25" customHeight="1" x14ac:dyDescent="0.25">
      <c r="B101" s="623"/>
    </row>
    <row r="102" spans="1:11" ht="11.25" customHeight="1" x14ac:dyDescent="0.25">
      <c r="B102" s="623"/>
    </row>
    <row r="103" spans="1:11" ht="11.25" customHeight="1" x14ac:dyDescent="0.25">
      <c r="B103" s="623"/>
    </row>
    <row r="104" spans="1:11" ht="11.25" customHeight="1" x14ac:dyDescent="0.25">
      <c r="B104" s="623"/>
    </row>
    <row r="105" spans="1:11" ht="11.25" customHeight="1" x14ac:dyDescent="0.25">
      <c r="B105" s="623"/>
    </row>
    <row r="106" spans="1:11" ht="11.25" customHeight="1" x14ac:dyDescent="0.25">
      <c r="B106" s="623"/>
    </row>
    <row r="107" spans="1:11" ht="11.25" customHeight="1" x14ac:dyDescent="0.25">
      <c r="B107" s="623"/>
    </row>
    <row r="108" spans="1:11" ht="11.25" customHeight="1" x14ac:dyDescent="0.25">
      <c r="B108" s="623"/>
    </row>
    <row r="109" spans="1:11" ht="11.25" customHeight="1" x14ac:dyDescent="0.25">
      <c r="B109" s="623"/>
    </row>
    <row r="110" spans="1:11" ht="11.25" customHeight="1" x14ac:dyDescent="0.25">
      <c r="B110" s="623"/>
    </row>
    <row r="111" spans="1:11" ht="11.25" customHeight="1" x14ac:dyDescent="0.25">
      <c r="B111" s="623"/>
    </row>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mergeCells count="4">
    <mergeCell ref="F2:H2"/>
    <mergeCell ref="I2:K2"/>
    <mergeCell ref="A2:A3"/>
    <mergeCell ref="B2:B3"/>
  </mergeCells>
  <phoneticPr fontId="4" type="noConversion"/>
  <dataValidations count="1">
    <dataValidation type="decimal" allowBlank="1" showInputMessage="1" showErrorMessage="1" sqref="C69:K77 K6:K9 J8 C6:H9 I6:J7 I9:J9 C62:K67 C54:K58 C49:K52 C40:K44 C38:K38 C32:K34 C29:K30 C23:K25 C17:K21 C11:K13">
      <formula1>-9999999999999990000</formula1>
      <formula2>99999999999999900000</formula2>
    </dataValidation>
  </dataValidations>
  <pageMargins left="0.75" right="0.75" top="1" bottom="1" header="0.5" footer="0.5"/>
  <pageSetup scale="6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1" enableFormatConditionsCalculation="0">
    <tabColor indexed="46"/>
    <pageSetUpPr fitToPage="1"/>
  </sheetPr>
  <dimension ref="D2:AJ288"/>
  <sheetViews>
    <sheetView showGridLines="0" tabSelected="1" topLeftCell="A23" workbookViewId="0">
      <selection activeCell="I39" sqref="I39"/>
    </sheetView>
  </sheetViews>
  <sheetFormatPr defaultRowHeight="12.75" x14ac:dyDescent="0.2"/>
  <cols>
    <col min="19" max="22" width="9.140625" style="1239"/>
    <col min="23" max="23" width="19.7109375" style="1240" customWidth="1"/>
    <col min="24" max="25" width="9.140625" style="1240"/>
    <col min="26" max="26" width="9.140625" style="1239"/>
    <col min="27" max="27" width="13" style="1239" customWidth="1"/>
    <col min="28" max="28" width="24.85546875" style="1239" customWidth="1"/>
    <col min="29" max="36" width="9.140625" style="1239"/>
  </cols>
  <sheetData>
    <row r="2" spans="4:29" x14ac:dyDescent="0.2">
      <c r="D2">
        <v>2020</v>
      </c>
    </row>
    <row r="4" spans="4:29" x14ac:dyDescent="0.2">
      <c r="X4" s="1241" t="s">
        <v>428</v>
      </c>
    </row>
    <row r="5" spans="4:29" x14ac:dyDescent="0.2">
      <c r="X5" s="1241" t="s">
        <v>829</v>
      </c>
    </row>
    <row r="6" spans="4:29" x14ac:dyDescent="0.2">
      <c r="AB6" s="1244"/>
      <c r="AC6" s="1166"/>
    </row>
    <row r="7" spans="4:29" x14ac:dyDescent="0.2">
      <c r="W7" s="1241" t="s">
        <v>890</v>
      </c>
      <c r="X7" s="1241" t="s">
        <v>264</v>
      </c>
      <c r="AB7" s="1244"/>
      <c r="AC7" s="1168"/>
    </row>
    <row r="8" spans="4:29" x14ac:dyDescent="0.2">
      <c r="X8" s="1241" t="s">
        <v>1812</v>
      </c>
      <c r="AB8" s="1244"/>
      <c r="AC8" s="1166"/>
    </row>
    <row r="9" spans="4:29" x14ac:dyDescent="0.2">
      <c r="AB9" s="1244"/>
      <c r="AC9" s="1166"/>
    </row>
    <row r="10" spans="4:29" x14ac:dyDescent="0.2">
      <c r="AB10" s="1244"/>
      <c r="AC10" s="1166"/>
    </row>
    <row r="11" spans="4:29" x14ac:dyDescent="0.2">
      <c r="AB11" s="1244"/>
      <c r="AC11" s="1166"/>
    </row>
    <row r="12" spans="4:29" x14ac:dyDescent="0.2">
      <c r="AB12" s="1244"/>
      <c r="AC12" s="1166"/>
    </row>
    <row r="13" spans="4:29" x14ac:dyDescent="0.2">
      <c r="AB13" s="1244"/>
      <c r="AC13" s="1168"/>
    </row>
    <row r="14" spans="4:29" x14ac:dyDescent="0.2">
      <c r="AB14" s="1244"/>
      <c r="AC14" s="1166"/>
    </row>
    <row r="15" spans="4:29" x14ac:dyDescent="0.2">
      <c r="AB15" s="1244"/>
      <c r="AC15" s="1159"/>
    </row>
    <row r="16" spans="4:29" x14ac:dyDescent="0.2">
      <c r="AB16" s="1244"/>
      <c r="AC16" s="1159"/>
    </row>
    <row r="17" spans="23:29" x14ac:dyDescent="0.2">
      <c r="W17" s="1241" t="s">
        <v>889</v>
      </c>
      <c r="X17" s="1241">
        <v>2008</v>
      </c>
      <c r="AB17" s="1244"/>
      <c r="AC17" s="1159"/>
    </row>
    <row r="18" spans="23:29" x14ac:dyDescent="0.2">
      <c r="X18" s="1241">
        <v>2009</v>
      </c>
      <c r="AB18" s="1244"/>
      <c r="AC18" s="1159"/>
    </row>
    <row r="19" spans="23:29" x14ac:dyDescent="0.2">
      <c r="X19" s="1241">
        <v>2010</v>
      </c>
      <c r="AB19" s="1244"/>
      <c r="AC19" s="1159"/>
    </row>
    <row r="20" spans="23:29" x14ac:dyDescent="0.2">
      <c r="X20" s="1241">
        <v>2011</v>
      </c>
      <c r="AB20" s="1244"/>
      <c r="AC20" s="1159"/>
    </row>
    <row r="21" spans="23:29" x14ac:dyDescent="0.2">
      <c r="X21" s="1241">
        <v>2012</v>
      </c>
      <c r="AB21" s="1244"/>
      <c r="AC21" s="1159"/>
    </row>
    <row r="22" spans="23:29" x14ac:dyDescent="0.2">
      <c r="X22" s="1241">
        <v>2013</v>
      </c>
      <c r="AB22" s="1244"/>
      <c r="AC22" s="1159"/>
    </row>
    <row r="23" spans="23:29" x14ac:dyDescent="0.2">
      <c r="X23" s="1241">
        <v>2014</v>
      </c>
      <c r="AB23" s="1244"/>
      <c r="AC23" s="1159"/>
    </row>
    <row r="24" spans="23:29" x14ac:dyDescent="0.2">
      <c r="X24" s="1241">
        <v>2015</v>
      </c>
      <c r="AB24" s="1244"/>
      <c r="AC24" s="1159"/>
    </row>
    <row r="25" spans="23:29" x14ac:dyDescent="0.2">
      <c r="X25" s="1241">
        <v>2016</v>
      </c>
      <c r="AB25" s="1244"/>
      <c r="AC25" s="1159"/>
    </row>
    <row r="26" spans="23:29" x14ac:dyDescent="0.2">
      <c r="X26" s="1241">
        <v>2017</v>
      </c>
      <c r="AB26" s="1244"/>
      <c r="AC26" s="1159"/>
    </row>
    <row r="27" spans="23:29" x14ac:dyDescent="0.2">
      <c r="X27" s="1241">
        <v>2018</v>
      </c>
      <c r="AB27" s="1244"/>
      <c r="AC27" s="1159"/>
    </row>
    <row r="28" spans="23:29" x14ac:dyDescent="0.2">
      <c r="X28" s="1241">
        <v>2019</v>
      </c>
      <c r="AB28" s="1244"/>
      <c r="AC28" s="1159"/>
    </row>
    <row r="29" spans="23:29" x14ac:dyDescent="0.2">
      <c r="X29" s="1241">
        <v>2020</v>
      </c>
      <c r="AB29" s="1244"/>
      <c r="AC29" s="1159"/>
    </row>
    <row r="30" spans="23:29" x14ac:dyDescent="0.2">
      <c r="X30" s="1241">
        <v>2021</v>
      </c>
      <c r="AB30" s="1244"/>
      <c r="AC30" s="1159"/>
    </row>
    <row r="31" spans="23:29" x14ac:dyDescent="0.2">
      <c r="X31" s="1241">
        <v>2022</v>
      </c>
      <c r="AB31" s="1244"/>
      <c r="AC31" s="1159"/>
    </row>
    <row r="32" spans="23:29" x14ac:dyDescent="0.2">
      <c r="AB32" s="1244"/>
      <c r="AC32" s="1159"/>
    </row>
    <row r="33" spans="15:29" x14ac:dyDescent="0.2">
      <c r="W33" s="1241" t="s">
        <v>1813</v>
      </c>
      <c r="X33" s="1240">
        <v>5</v>
      </c>
      <c r="AB33" s="1244"/>
      <c r="AC33" s="1165"/>
    </row>
    <row r="34" spans="15:29" x14ac:dyDescent="0.2">
      <c r="W34" s="1241" t="s">
        <v>1811</v>
      </c>
      <c r="X34" s="1242">
        <f>INDEX(X17:X31,X33,1)</f>
        <v>2012</v>
      </c>
      <c r="AB34" s="1244"/>
      <c r="AC34" s="1172"/>
    </row>
    <row r="35" spans="15:29" x14ac:dyDescent="0.2">
      <c r="AB35" s="1244"/>
      <c r="AC35" s="1172"/>
    </row>
    <row r="36" spans="15:29" x14ac:dyDescent="0.2">
      <c r="W36" s="1241" t="s">
        <v>1814</v>
      </c>
      <c r="X36" s="1243" t="str">
        <f>MTREF&amp;"/"&amp;RIGHT(MTREF,2)+1</f>
        <v>2012/13</v>
      </c>
      <c r="AB36" s="1244"/>
      <c r="AC36" s="1159"/>
    </row>
    <row r="37" spans="15:29" x14ac:dyDescent="0.2">
      <c r="O37" s="1585"/>
      <c r="AB37" s="1244"/>
      <c r="AC37" s="1159"/>
    </row>
    <row r="38" spans="15:29" x14ac:dyDescent="0.2">
      <c r="O38" s="1585"/>
      <c r="AB38" s="1244"/>
      <c r="AC38" s="1159"/>
    </row>
    <row r="39" spans="15:29" x14ac:dyDescent="0.2">
      <c r="O39" s="1585"/>
      <c r="AB39" s="1244"/>
      <c r="AC39" s="1159"/>
    </row>
    <row r="40" spans="15:29" x14ac:dyDescent="0.2">
      <c r="O40" s="1586"/>
      <c r="AB40" s="1244"/>
      <c r="AC40" s="1159"/>
    </row>
    <row r="41" spans="15:29" x14ac:dyDescent="0.2">
      <c r="AB41" s="1244"/>
      <c r="AC41" s="1159"/>
    </row>
    <row r="42" spans="15:29" x14ac:dyDescent="0.2">
      <c r="AB42" s="1244"/>
      <c r="AC42" s="1159"/>
    </row>
    <row r="43" spans="15:29" x14ac:dyDescent="0.2">
      <c r="AB43" s="1244"/>
      <c r="AC43" s="1159"/>
    </row>
    <row r="44" spans="15:29" x14ac:dyDescent="0.2">
      <c r="AB44" s="1244"/>
      <c r="AC44" s="1159"/>
    </row>
    <row r="45" spans="15:29" x14ac:dyDescent="0.2">
      <c r="AB45" s="1244"/>
      <c r="AC45" s="1159"/>
    </row>
    <row r="46" spans="15:29" x14ac:dyDescent="0.2">
      <c r="AB46" s="1244"/>
      <c r="AC46" s="1159"/>
    </row>
    <row r="47" spans="15:29" x14ac:dyDescent="0.2">
      <c r="AB47" s="1244"/>
      <c r="AC47" s="1159"/>
    </row>
    <row r="48" spans="15:29" x14ac:dyDescent="0.2">
      <c r="AB48" s="1244"/>
      <c r="AC48" s="1159"/>
    </row>
    <row r="49" spans="28:29" x14ac:dyDescent="0.2">
      <c r="AB49" s="1244"/>
      <c r="AC49" s="1159"/>
    </row>
    <row r="50" spans="28:29" x14ac:dyDescent="0.2">
      <c r="AB50" s="1244"/>
      <c r="AC50" s="1159"/>
    </row>
    <row r="51" spans="28:29" x14ac:dyDescent="0.2">
      <c r="AB51" s="1244"/>
      <c r="AC51" s="1159"/>
    </row>
    <row r="52" spans="28:29" x14ac:dyDescent="0.2">
      <c r="AB52" s="1244"/>
      <c r="AC52" s="1159"/>
    </row>
    <row r="53" spans="28:29" x14ac:dyDescent="0.2">
      <c r="AB53" s="1244"/>
      <c r="AC53" s="1159"/>
    </row>
    <row r="54" spans="28:29" x14ac:dyDescent="0.2">
      <c r="AB54" s="1244"/>
      <c r="AC54" s="1159"/>
    </row>
    <row r="55" spans="28:29" x14ac:dyDescent="0.2">
      <c r="AB55" s="1244"/>
      <c r="AC55" s="1159"/>
    </row>
    <row r="56" spans="28:29" x14ac:dyDescent="0.2">
      <c r="AB56" s="1244"/>
      <c r="AC56" s="1159"/>
    </row>
    <row r="57" spans="28:29" x14ac:dyDescent="0.2">
      <c r="AB57" s="1244"/>
      <c r="AC57" s="1159"/>
    </row>
    <row r="58" spans="28:29" x14ac:dyDescent="0.2">
      <c r="AB58" s="1244"/>
      <c r="AC58" s="1159"/>
    </row>
    <row r="59" spans="28:29" x14ac:dyDescent="0.2">
      <c r="AB59" s="1244"/>
      <c r="AC59" s="1159"/>
    </row>
    <row r="60" spans="28:29" x14ac:dyDescent="0.2">
      <c r="AB60" s="1244"/>
      <c r="AC60" s="1159"/>
    </row>
    <row r="61" spans="28:29" x14ac:dyDescent="0.2">
      <c r="AB61" s="1244"/>
      <c r="AC61" s="1159"/>
    </row>
    <row r="62" spans="28:29" x14ac:dyDescent="0.2">
      <c r="AB62" s="1244"/>
      <c r="AC62" s="1159"/>
    </row>
    <row r="63" spans="28:29" x14ac:dyDescent="0.2">
      <c r="AB63" s="1244"/>
      <c r="AC63" s="1159"/>
    </row>
    <row r="64" spans="28:29" x14ac:dyDescent="0.2">
      <c r="AB64" s="1244"/>
      <c r="AC64" s="1159"/>
    </row>
    <row r="65" spans="28:29" x14ac:dyDescent="0.2">
      <c r="AB65" s="1244"/>
      <c r="AC65" s="1159"/>
    </row>
    <row r="66" spans="28:29" x14ac:dyDescent="0.2">
      <c r="AB66" s="1244"/>
      <c r="AC66" s="1159"/>
    </row>
    <row r="67" spans="28:29" x14ac:dyDescent="0.2">
      <c r="AB67" s="1244"/>
      <c r="AC67" s="1159"/>
    </row>
    <row r="68" spans="28:29" x14ac:dyDescent="0.2">
      <c r="AB68" s="1244"/>
      <c r="AC68" s="1159"/>
    </row>
    <row r="69" spans="28:29" x14ac:dyDescent="0.2">
      <c r="AB69" s="1244"/>
      <c r="AC69" s="1159"/>
    </row>
    <row r="70" spans="28:29" x14ac:dyDescent="0.2">
      <c r="AB70" s="1244"/>
      <c r="AC70" s="1159"/>
    </row>
    <row r="71" spans="28:29" x14ac:dyDescent="0.2">
      <c r="AB71" s="1244"/>
      <c r="AC71" s="1159"/>
    </row>
    <row r="72" spans="28:29" x14ac:dyDescent="0.2">
      <c r="AB72" s="1244"/>
      <c r="AC72" s="1159"/>
    </row>
    <row r="73" spans="28:29" x14ac:dyDescent="0.2">
      <c r="AB73" s="1244"/>
      <c r="AC73" s="1159"/>
    </row>
    <row r="74" spans="28:29" x14ac:dyDescent="0.2">
      <c r="AB74" s="1244"/>
      <c r="AC74" s="1159"/>
    </row>
    <row r="75" spans="28:29" x14ac:dyDescent="0.2">
      <c r="AB75" s="1244"/>
      <c r="AC75" s="1159"/>
    </row>
    <row r="76" spans="28:29" x14ac:dyDescent="0.2">
      <c r="AB76" s="1244"/>
      <c r="AC76" s="1159"/>
    </row>
    <row r="77" spans="28:29" x14ac:dyDescent="0.2">
      <c r="AB77" s="1244"/>
      <c r="AC77" s="1159"/>
    </row>
    <row r="78" spans="28:29" x14ac:dyDescent="0.2">
      <c r="AB78" s="1244"/>
      <c r="AC78" s="1159"/>
    </row>
    <row r="79" spans="28:29" x14ac:dyDescent="0.2">
      <c r="AB79" s="1244"/>
      <c r="AC79" s="1159"/>
    </row>
    <row r="80" spans="28:29" x14ac:dyDescent="0.2">
      <c r="AB80" s="1244"/>
      <c r="AC80" s="1159"/>
    </row>
    <row r="81" spans="28:29" x14ac:dyDescent="0.2">
      <c r="AB81" s="1244"/>
      <c r="AC81" s="1159"/>
    </row>
    <row r="82" spans="28:29" x14ac:dyDescent="0.2">
      <c r="AB82" s="1244"/>
      <c r="AC82" s="1159"/>
    </row>
    <row r="83" spans="28:29" x14ac:dyDescent="0.2">
      <c r="AB83" s="1244"/>
      <c r="AC83" s="1159"/>
    </row>
    <row r="84" spans="28:29" x14ac:dyDescent="0.2">
      <c r="AB84" s="1244"/>
      <c r="AC84" s="1159"/>
    </row>
    <row r="85" spans="28:29" x14ac:dyDescent="0.2">
      <c r="AB85" s="1244"/>
      <c r="AC85" s="1159"/>
    </row>
    <row r="86" spans="28:29" x14ac:dyDescent="0.2">
      <c r="AB86" s="1244"/>
      <c r="AC86" s="1159"/>
    </row>
    <row r="87" spans="28:29" x14ac:dyDescent="0.2">
      <c r="AB87" s="1244"/>
      <c r="AC87" s="1159"/>
    </row>
    <row r="88" spans="28:29" x14ac:dyDescent="0.2">
      <c r="AB88" s="1244"/>
      <c r="AC88" s="1159"/>
    </row>
    <row r="89" spans="28:29" x14ac:dyDescent="0.2">
      <c r="AB89" s="1244"/>
      <c r="AC89" s="1159"/>
    </row>
    <row r="90" spans="28:29" x14ac:dyDescent="0.2">
      <c r="AB90" s="1244"/>
      <c r="AC90" s="1159"/>
    </row>
    <row r="91" spans="28:29" x14ac:dyDescent="0.2">
      <c r="AB91" s="1244"/>
      <c r="AC91" s="1159"/>
    </row>
    <row r="92" spans="28:29" x14ac:dyDescent="0.2">
      <c r="AB92" s="1244"/>
      <c r="AC92" s="1159"/>
    </row>
    <row r="93" spans="28:29" x14ac:dyDescent="0.2">
      <c r="AB93" s="1244"/>
      <c r="AC93" s="1159"/>
    </row>
    <row r="94" spans="28:29" x14ac:dyDescent="0.2">
      <c r="AB94" s="1244"/>
      <c r="AC94" s="1159"/>
    </row>
    <row r="95" spans="28:29" x14ac:dyDescent="0.2">
      <c r="AB95" s="1244"/>
      <c r="AC95" s="1159"/>
    </row>
    <row r="96" spans="28:29" x14ac:dyDescent="0.2">
      <c r="AB96" s="1244"/>
      <c r="AC96" s="1159"/>
    </row>
    <row r="97" spans="28:29" x14ac:dyDescent="0.2">
      <c r="AB97" s="1244"/>
      <c r="AC97" s="1159"/>
    </row>
    <row r="98" spans="28:29" x14ac:dyDescent="0.2">
      <c r="AB98" s="1244"/>
      <c r="AC98" s="1159"/>
    </row>
    <row r="99" spans="28:29" x14ac:dyDescent="0.2">
      <c r="AB99" s="1244"/>
      <c r="AC99" s="1159"/>
    </row>
    <row r="100" spans="28:29" x14ac:dyDescent="0.2">
      <c r="AB100" s="1244"/>
      <c r="AC100" s="1159"/>
    </row>
    <row r="101" spans="28:29" x14ac:dyDescent="0.2">
      <c r="AB101" s="1244"/>
      <c r="AC101" s="1159"/>
    </row>
    <row r="102" spans="28:29" x14ac:dyDescent="0.2">
      <c r="AB102" s="1244"/>
      <c r="AC102" s="1159"/>
    </row>
    <row r="103" spans="28:29" x14ac:dyDescent="0.2">
      <c r="AB103" s="1244"/>
      <c r="AC103" s="1159"/>
    </row>
    <row r="104" spans="28:29" x14ac:dyDescent="0.2">
      <c r="AB104" s="1244"/>
      <c r="AC104" s="1159"/>
    </row>
    <row r="105" spans="28:29" x14ac:dyDescent="0.2">
      <c r="AB105" s="1244"/>
      <c r="AC105" s="1159"/>
    </row>
    <row r="106" spans="28:29" x14ac:dyDescent="0.2">
      <c r="AB106" s="1244"/>
      <c r="AC106" s="1159"/>
    </row>
    <row r="107" spans="28:29" x14ac:dyDescent="0.2">
      <c r="AB107" s="1244"/>
      <c r="AC107" s="1159"/>
    </row>
    <row r="108" spans="28:29" x14ac:dyDescent="0.2">
      <c r="AB108" s="1244"/>
      <c r="AC108" s="1159"/>
    </row>
    <row r="109" spans="28:29" x14ac:dyDescent="0.2">
      <c r="AB109" s="1244"/>
      <c r="AC109" s="1159"/>
    </row>
    <row r="110" spans="28:29" x14ac:dyDescent="0.2">
      <c r="AB110" s="1244"/>
      <c r="AC110" s="1159"/>
    </row>
    <row r="111" spans="28:29" x14ac:dyDescent="0.2">
      <c r="AB111" s="1244"/>
      <c r="AC111" s="1159"/>
    </row>
    <row r="112" spans="28:29" x14ac:dyDescent="0.2">
      <c r="AB112" s="1244"/>
      <c r="AC112" s="1159"/>
    </row>
    <row r="113" spans="28:29" x14ac:dyDescent="0.2">
      <c r="AB113" s="1244"/>
      <c r="AC113" s="1159"/>
    </row>
    <row r="114" spans="28:29" x14ac:dyDescent="0.2">
      <c r="AB114" s="1244"/>
      <c r="AC114" s="1159"/>
    </row>
    <row r="115" spans="28:29" x14ac:dyDescent="0.2">
      <c r="AB115" s="1244"/>
      <c r="AC115" s="1159"/>
    </row>
    <row r="116" spans="28:29" x14ac:dyDescent="0.2">
      <c r="AB116" s="1244"/>
      <c r="AC116" s="1159"/>
    </row>
    <row r="117" spans="28:29" x14ac:dyDescent="0.2">
      <c r="AB117" s="1244"/>
      <c r="AC117" s="1159"/>
    </row>
    <row r="118" spans="28:29" x14ac:dyDescent="0.2">
      <c r="AB118" s="1244"/>
      <c r="AC118" s="1159"/>
    </row>
    <row r="119" spans="28:29" x14ac:dyDescent="0.2">
      <c r="AB119" s="1244"/>
      <c r="AC119" s="1159"/>
    </row>
    <row r="120" spans="28:29" x14ac:dyDescent="0.2">
      <c r="AB120" s="1244"/>
      <c r="AC120" s="1159"/>
    </row>
    <row r="121" spans="28:29" x14ac:dyDescent="0.2">
      <c r="AB121" s="1244"/>
      <c r="AC121" s="1159"/>
    </row>
    <row r="122" spans="28:29" x14ac:dyDescent="0.2">
      <c r="AB122" s="1244"/>
      <c r="AC122" s="1159"/>
    </row>
    <row r="123" spans="28:29" x14ac:dyDescent="0.2">
      <c r="AB123" s="1244"/>
      <c r="AC123" s="1159"/>
    </row>
    <row r="124" spans="28:29" x14ac:dyDescent="0.2">
      <c r="AB124" s="1244"/>
      <c r="AC124" s="1159"/>
    </row>
    <row r="125" spans="28:29" x14ac:dyDescent="0.2">
      <c r="AB125" s="1244"/>
      <c r="AC125" s="1159"/>
    </row>
    <row r="126" spans="28:29" x14ac:dyDescent="0.2">
      <c r="AB126" s="1244"/>
      <c r="AC126" s="1159"/>
    </row>
    <row r="127" spans="28:29" x14ac:dyDescent="0.2">
      <c r="AB127" s="1244"/>
      <c r="AC127" s="1159"/>
    </row>
    <row r="128" spans="28:29" x14ac:dyDescent="0.2">
      <c r="AB128" s="1244"/>
      <c r="AC128" s="1159"/>
    </row>
    <row r="129" spans="28:29" x14ac:dyDescent="0.2">
      <c r="AB129" s="1244"/>
      <c r="AC129" s="1159"/>
    </row>
    <row r="130" spans="28:29" x14ac:dyDescent="0.2">
      <c r="AB130" s="1244"/>
      <c r="AC130" s="1159"/>
    </row>
    <row r="131" spans="28:29" x14ac:dyDescent="0.2">
      <c r="AB131" s="1244"/>
      <c r="AC131" s="1159"/>
    </row>
    <row r="132" spans="28:29" x14ac:dyDescent="0.2">
      <c r="AB132" s="1244"/>
      <c r="AC132" s="1159"/>
    </row>
    <row r="133" spans="28:29" x14ac:dyDescent="0.2">
      <c r="AB133" s="1244"/>
      <c r="AC133" s="1159"/>
    </row>
    <row r="134" spans="28:29" x14ac:dyDescent="0.2">
      <c r="AB134" s="1244"/>
      <c r="AC134" s="1159"/>
    </row>
    <row r="135" spans="28:29" x14ac:dyDescent="0.2">
      <c r="AB135" s="1244"/>
      <c r="AC135" s="1159"/>
    </row>
    <row r="136" spans="28:29" x14ac:dyDescent="0.2">
      <c r="AB136" s="1244"/>
      <c r="AC136" s="1159"/>
    </row>
    <row r="137" spans="28:29" x14ac:dyDescent="0.2">
      <c r="AB137" s="1244"/>
      <c r="AC137" s="1159"/>
    </row>
    <row r="138" spans="28:29" x14ac:dyDescent="0.2">
      <c r="AB138" s="1244"/>
      <c r="AC138" s="1159"/>
    </row>
    <row r="139" spans="28:29" x14ac:dyDescent="0.2">
      <c r="AB139" s="1244"/>
      <c r="AC139" s="1159"/>
    </row>
    <row r="140" spans="28:29" x14ac:dyDescent="0.2">
      <c r="AB140" s="1244"/>
      <c r="AC140" s="1159"/>
    </row>
    <row r="141" spans="28:29" x14ac:dyDescent="0.2">
      <c r="AB141" s="1244"/>
      <c r="AC141" s="1159"/>
    </row>
    <row r="142" spans="28:29" x14ac:dyDescent="0.2">
      <c r="AB142" s="1244"/>
      <c r="AC142" s="1159"/>
    </row>
    <row r="143" spans="28:29" x14ac:dyDescent="0.2">
      <c r="AB143" s="1244"/>
      <c r="AC143" s="1159"/>
    </row>
    <row r="144" spans="28:29" x14ac:dyDescent="0.2">
      <c r="AB144" s="1244"/>
      <c r="AC144" s="1159"/>
    </row>
    <row r="145" spans="28:29" x14ac:dyDescent="0.2">
      <c r="AB145" s="1244"/>
      <c r="AC145" s="1159"/>
    </row>
    <row r="146" spans="28:29" x14ac:dyDescent="0.2">
      <c r="AB146" s="1244"/>
      <c r="AC146" s="1159"/>
    </row>
    <row r="147" spans="28:29" x14ac:dyDescent="0.2">
      <c r="AB147" s="1244"/>
      <c r="AC147" s="1159"/>
    </row>
    <row r="148" spans="28:29" x14ac:dyDescent="0.2">
      <c r="AB148" s="1244"/>
      <c r="AC148" s="1159"/>
    </row>
    <row r="149" spans="28:29" x14ac:dyDescent="0.2">
      <c r="AB149" s="1244"/>
      <c r="AC149" s="1159"/>
    </row>
    <row r="150" spans="28:29" x14ac:dyDescent="0.2">
      <c r="AB150" s="1244"/>
      <c r="AC150" s="1159"/>
    </row>
    <row r="151" spans="28:29" x14ac:dyDescent="0.2">
      <c r="AB151" s="1244"/>
      <c r="AC151" s="1159"/>
    </row>
    <row r="152" spans="28:29" x14ac:dyDescent="0.2">
      <c r="AB152" s="1244"/>
      <c r="AC152" s="1159"/>
    </row>
    <row r="153" spans="28:29" x14ac:dyDescent="0.2">
      <c r="AB153" s="1244"/>
      <c r="AC153" s="1159"/>
    </row>
    <row r="154" spans="28:29" x14ac:dyDescent="0.2">
      <c r="AB154" s="1244"/>
      <c r="AC154" s="1159"/>
    </row>
    <row r="155" spans="28:29" x14ac:dyDescent="0.2">
      <c r="AB155" s="1244"/>
      <c r="AC155" s="1159"/>
    </row>
    <row r="156" spans="28:29" x14ac:dyDescent="0.2">
      <c r="AB156" s="1244"/>
      <c r="AC156" s="1159"/>
    </row>
    <row r="157" spans="28:29" x14ac:dyDescent="0.2">
      <c r="AB157" s="1244"/>
      <c r="AC157" s="1159"/>
    </row>
    <row r="158" spans="28:29" x14ac:dyDescent="0.2">
      <c r="AB158" s="1244"/>
      <c r="AC158" s="1159"/>
    </row>
    <row r="159" spans="28:29" x14ac:dyDescent="0.2">
      <c r="AB159" s="1244"/>
      <c r="AC159" s="1159"/>
    </row>
    <row r="160" spans="28:29" x14ac:dyDescent="0.2">
      <c r="AB160" s="1244"/>
      <c r="AC160" s="1159"/>
    </row>
    <row r="161" spans="28:29" x14ac:dyDescent="0.2">
      <c r="AB161" s="1244"/>
      <c r="AC161" s="1159"/>
    </row>
    <row r="162" spans="28:29" x14ac:dyDescent="0.2">
      <c r="AB162" s="1244"/>
      <c r="AC162" s="1159"/>
    </row>
    <row r="163" spans="28:29" x14ac:dyDescent="0.2">
      <c r="AB163" s="1244"/>
      <c r="AC163" s="1159"/>
    </row>
    <row r="164" spans="28:29" x14ac:dyDescent="0.2">
      <c r="AB164" s="1244"/>
      <c r="AC164" s="1159"/>
    </row>
    <row r="165" spans="28:29" x14ac:dyDescent="0.2">
      <c r="AB165" s="1244"/>
      <c r="AC165" s="1159"/>
    </row>
    <row r="166" spans="28:29" x14ac:dyDescent="0.2">
      <c r="AB166" s="1244"/>
      <c r="AC166" s="1159"/>
    </row>
    <row r="167" spans="28:29" x14ac:dyDescent="0.2">
      <c r="AB167" s="1244"/>
      <c r="AC167" s="1159"/>
    </row>
    <row r="168" spans="28:29" x14ac:dyDescent="0.2">
      <c r="AB168" s="1244"/>
      <c r="AC168" s="1159"/>
    </row>
    <row r="169" spans="28:29" x14ac:dyDescent="0.2">
      <c r="AB169" s="1244"/>
      <c r="AC169" s="1159"/>
    </row>
    <row r="170" spans="28:29" x14ac:dyDescent="0.2">
      <c r="AB170" s="1244"/>
      <c r="AC170" s="1159"/>
    </row>
    <row r="171" spans="28:29" x14ac:dyDescent="0.2">
      <c r="AB171" s="1244"/>
      <c r="AC171" s="1159"/>
    </row>
    <row r="172" spans="28:29" x14ac:dyDescent="0.2">
      <c r="AB172" s="1244"/>
      <c r="AC172" s="1159"/>
    </row>
    <row r="173" spans="28:29" x14ac:dyDescent="0.2">
      <c r="AB173" s="1244"/>
      <c r="AC173" s="1159"/>
    </row>
    <row r="174" spans="28:29" x14ac:dyDescent="0.2">
      <c r="AB174" s="1244"/>
      <c r="AC174" s="1159"/>
    </row>
    <row r="175" spans="28:29" x14ac:dyDescent="0.2">
      <c r="AB175" s="1244"/>
      <c r="AC175" s="1159"/>
    </row>
    <row r="176" spans="28:29" x14ac:dyDescent="0.2">
      <c r="AB176" s="1244"/>
      <c r="AC176" s="1159"/>
    </row>
    <row r="177" spans="28:29" x14ac:dyDescent="0.2">
      <c r="AB177" s="1244"/>
      <c r="AC177" s="1159"/>
    </row>
    <row r="178" spans="28:29" x14ac:dyDescent="0.2">
      <c r="AB178" s="1244"/>
      <c r="AC178" s="1159"/>
    </row>
    <row r="179" spans="28:29" x14ac:dyDescent="0.2">
      <c r="AB179" s="1244"/>
      <c r="AC179" s="1159"/>
    </row>
    <row r="180" spans="28:29" x14ac:dyDescent="0.2">
      <c r="AB180" s="1244"/>
      <c r="AC180" s="1159"/>
    </row>
    <row r="181" spans="28:29" x14ac:dyDescent="0.2">
      <c r="AB181" s="1244"/>
      <c r="AC181" s="1159"/>
    </row>
    <row r="182" spans="28:29" x14ac:dyDescent="0.2">
      <c r="AB182" s="1244"/>
      <c r="AC182" s="1159"/>
    </row>
    <row r="183" spans="28:29" x14ac:dyDescent="0.2">
      <c r="AB183" s="1244"/>
      <c r="AC183" s="1159"/>
    </row>
    <row r="184" spans="28:29" x14ac:dyDescent="0.2">
      <c r="AB184" s="1244"/>
      <c r="AC184" s="1159"/>
    </row>
    <row r="185" spans="28:29" x14ac:dyDescent="0.2">
      <c r="AB185" s="1244"/>
      <c r="AC185" s="1159"/>
    </row>
    <row r="186" spans="28:29" x14ac:dyDescent="0.2">
      <c r="AB186" s="1244"/>
      <c r="AC186" s="1159"/>
    </row>
    <row r="187" spans="28:29" x14ac:dyDescent="0.2">
      <c r="AB187" s="1244"/>
      <c r="AC187" s="1159"/>
    </row>
    <row r="188" spans="28:29" x14ac:dyDescent="0.2">
      <c r="AB188" s="1244"/>
      <c r="AC188" s="1159"/>
    </row>
    <row r="189" spans="28:29" x14ac:dyDescent="0.2">
      <c r="AB189" s="1244"/>
      <c r="AC189" s="1159"/>
    </row>
    <row r="190" spans="28:29" x14ac:dyDescent="0.2">
      <c r="AB190" s="1244"/>
      <c r="AC190" s="1159"/>
    </row>
    <row r="191" spans="28:29" x14ac:dyDescent="0.2">
      <c r="AB191" s="1244"/>
      <c r="AC191" s="1159"/>
    </row>
    <row r="192" spans="28:29" x14ac:dyDescent="0.2">
      <c r="AB192" s="1244"/>
      <c r="AC192" s="1159"/>
    </row>
    <row r="193" spans="28:29" x14ac:dyDescent="0.2">
      <c r="AB193" s="1244"/>
      <c r="AC193" s="1159"/>
    </row>
    <row r="194" spans="28:29" x14ac:dyDescent="0.2">
      <c r="AB194" s="1244"/>
      <c r="AC194" s="1159"/>
    </row>
    <row r="195" spans="28:29" x14ac:dyDescent="0.2">
      <c r="AB195" s="1244"/>
      <c r="AC195" s="1159"/>
    </row>
    <row r="196" spans="28:29" x14ac:dyDescent="0.2">
      <c r="AB196" s="1244"/>
      <c r="AC196" s="1159"/>
    </row>
    <row r="197" spans="28:29" x14ac:dyDescent="0.2">
      <c r="AB197" s="1244"/>
      <c r="AC197" s="1159"/>
    </row>
    <row r="198" spans="28:29" x14ac:dyDescent="0.2">
      <c r="AB198" s="1244"/>
      <c r="AC198" s="1159"/>
    </row>
    <row r="199" spans="28:29" x14ac:dyDescent="0.2">
      <c r="AB199" s="1244"/>
      <c r="AC199" s="1159"/>
    </row>
    <row r="200" spans="28:29" x14ac:dyDescent="0.2">
      <c r="AB200" s="1244"/>
      <c r="AC200" s="1159"/>
    </row>
    <row r="201" spans="28:29" x14ac:dyDescent="0.2">
      <c r="AB201" s="1244"/>
      <c r="AC201" s="1159"/>
    </row>
    <row r="202" spans="28:29" x14ac:dyDescent="0.2">
      <c r="AB202" s="1244"/>
      <c r="AC202" s="1159"/>
    </row>
    <row r="203" spans="28:29" x14ac:dyDescent="0.2">
      <c r="AB203" s="1244"/>
      <c r="AC203" s="1159"/>
    </row>
    <row r="204" spans="28:29" x14ac:dyDescent="0.2">
      <c r="AB204" s="1244"/>
      <c r="AC204" s="1159"/>
    </row>
    <row r="205" spans="28:29" x14ac:dyDescent="0.2">
      <c r="AB205" s="1244"/>
      <c r="AC205" s="1159"/>
    </row>
    <row r="206" spans="28:29" x14ac:dyDescent="0.2">
      <c r="AB206" s="1244"/>
      <c r="AC206" s="1159"/>
    </row>
    <row r="207" spans="28:29" x14ac:dyDescent="0.2">
      <c r="AB207" s="1244"/>
      <c r="AC207" s="1159"/>
    </row>
    <row r="208" spans="28:29" x14ac:dyDescent="0.2">
      <c r="AB208" s="1244"/>
      <c r="AC208" s="1159"/>
    </row>
    <row r="209" spans="28:29" x14ac:dyDescent="0.2">
      <c r="AB209" s="1244"/>
      <c r="AC209" s="1159"/>
    </row>
    <row r="210" spans="28:29" x14ac:dyDescent="0.2">
      <c r="AB210" s="1244"/>
      <c r="AC210" s="1159"/>
    </row>
    <row r="211" spans="28:29" x14ac:dyDescent="0.2">
      <c r="AB211" s="1244"/>
      <c r="AC211" s="1159"/>
    </row>
    <row r="212" spans="28:29" x14ac:dyDescent="0.2">
      <c r="AB212" s="1244"/>
      <c r="AC212" s="1159"/>
    </row>
    <row r="213" spans="28:29" x14ac:dyDescent="0.2">
      <c r="AB213" s="1244"/>
      <c r="AC213" s="1159"/>
    </row>
    <row r="214" spans="28:29" x14ac:dyDescent="0.2">
      <c r="AB214" s="1244"/>
      <c r="AC214" s="1159"/>
    </row>
    <row r="215" spans="28:29" x14ac:dyDescent="0.2">
      <c r="AB215" s="1244"/>
      <c r="AC215" s="1159"/>
    </row>
    <row r="216" spans="28:29" x14ac:dyDescent="0.2">
      <c r="AB216" s="1244"/>
      <c r="AC216" s="1159"/>
    </row>
    <row r="217" spans="28:29" x14ac:dyDescent="0.2">
      <c r="AB217" s="1244"/>
      <c r="AC217" s="1159"/>
    </row>
    <row r="218" spans="28:29" x14ac:dyDescent="0.2">
      <c r="AB218" s="1244"/>
      <c r="AC218" s="1159"/>
    </row>
    <row r="219" spans="28:29" x14ac:dyDescent="0.2">
      <c r="AB219" s="1244"/>
      <c r="AC219" s="1159"/>
    </row>
    <row r="220" spans="28:29" x14ac:dyDescent="0.2">
      <c r="AB220" s="1244"/>
      <c r="AC220" s="1159"/>
    </row>
    <row r="221" spans="28:29" x14ac:dyDescent="0.2">
      <c r="AB221" s="1244"/>
      <c r="AC221" s="1159"/>
    </row>
    <row r="222" spans="28:29" x14ac:dyDescent="0.2">
      <c r="AB222" s="1244"/>
      <c r="AC222" s="1159"/>
    </row>
    <row r="223" spans="28:29" x14ac:dyDescent="0.2">
      <c r="AB223" s="1244"/>
      <c r="AC223" s="1159"/>
    </row>
    <row r="224" spans="28:29" x14ac:dyDescent="0.2">
      <c r="AB224" s="1244"/>
      <c r="AC224" s="1159"/>
    </row>
    <row r="225" spans="28:29" x14ac:dyDescent="0.2">
      <c r="AB225" s="1244"/>
      <c r="AC225" s="1159"/>
    </row>
    <row r="226" spans="28:29" x14ac:dyDescent="0.2">
      <c r="AB226" s="1244"/>
      <c r="AC226" s="1159"/>
    </row>
    <row r="227" spans="28:29" x14ac:dyDescent="0.2">
      <c r="AB227" s="1244"/>
      <c r="AC227" s="1159"/>
    </row>
    <row r="228" spans="28:29" x14ac:dyDescent="0.2">
      <c r="AB228" s="1244"/>
      <c r="AC228" s="1159"/>
    </row>
    <row r="229" spans="28:29" x14ac:dyDescent="0.2">
      <c r="AB229" s="1244"/>
      <c r="AC229" s="1159"/>
    </row>
    <row r="230" spans="28:29" x14ac:dyDescent="0.2">
      <c r="AB230" s="1244"/>
      <c r="AC230" s="1159"/>
    </row>
    <row r="231" spans="28:29" x14ac:dyDescent="0.2">
      <c r="AB231" s="1244"/>
      <c r="AC231" s="1159"/>
    </row>
    <row r="232" spans="28:29" x14ac:dyDescent="0.2">
      <c r="AB232" s="1244"/>
      <c r="AC232" s="1159"/>
    </row>
    <row r="233" spans="28:29" x14ac:dyDescent="0.2">
      <c r="AB233" s="1244"/>
      <c r="AC233" s="1159"/>
    </row>
    <row r="234" spans="28:29" x14ac:dyDescent="0.2">
      <c r="AB234" s="1244"/>
      <c r="AC234" s="1159"/>
    </row>
    <row r="235" spans="28:29" x14ac:dyDescent="0.2">
      <c r="AB235" s="1244"/>
      <c r="AC235" s="1159"/>
    </row>
    <row r="236" spans="28:29" x14ac:dyDescent="0.2">
      <c r="AB236" s="1244"/>
      <c r="AC236" s="1159"/>
    </row>
    <row r="237" spans="28:29" x14ac:dyDescent="0.2">
      <c r="AB237" s="1244"/>
      <c r="AC237" s="1159"/>
    </row>
    <row r="238" spans="28:29" x14ac:dyDescent="0.2">
      <c r="AB238" s="1244"/>
      <c r="AC238" s="1159"/>
    </row>
    <row r="239" spans="28:29" x14ac:dyDescent="0.2">
      <c r="AB239" s="1244"/>
      <c r="AC239" s="1159"/>
    </row>
    <row r="240" spans="28:29" x14ac:dyDescent="0.2">
      <c r="AB240" s="1244"/>
      <c r="AC240" s="1159"/>
    </row>
    <row r="241" spans="28:29" x14ac:dyDescent="0.2">
      <c r="AB241" s="1244"/>
      <c r="AC241" s="1159"/>
    </row>
    <row r="242" spans="28:29" x14ac:dyDescent="0.2">
      <c r="AB242" s="1244"/>
      <c r="AC242" s="1159"/>
    </row>
    <row r="243" spans="28:29" x14ac:dyDescent="0.2">
      <c r="AB243" s="1244"/>
      <c r="AC243" s="1159"/>
    </row>
    <row r="244" spans="28:29" x14ac:dyDescent="0.2">
      <c r="AB244" s="1244"/>
      <c r="AC244" s="1159"/>
    </row>
    <row r="245" spans="28:29" x14ac:dyDescent="0.2">
      <c r="AB245" s="1244"/>
      <c r="AC245" s="1159"/>
    </row>
    <row r="246" spans="28:29" x14ac:dyDescent="0.2">
      <c r="AB246" s="1244"/>
      <c r="AC246" s="1159"/>
    </row>
    <row r="247" spans="28:29" x14ac:dyDescent="0.2">
      <c r="AB247" s="1244"/>
      <c r="AC247" s="1159"/>
    </row>
    <row r="248" spans="28:29" x14ac:dyDescent="0.2">
      <c r="AB248" s="1244"/>
      <c r="AC248" s="1159"/>
    </row>
    <row r="249" spans="28:29" x14ac:dyDescent="0.2">
      <c r="AB249" s="1244"/>
      <c r="AC249" s="1159"/>
    </row>
    <row r="250" spans="28:29" x14ac:dyDescent="0.2">
      <c r="AB250" s="1244"/>
      <c r="AC250" s="1159"/>
    </row>
    <row r="251" spans="28:29" x14ac:dyDescent="0.2">
      <c r="AB251" s="1244"/>
      <c r="AC251" s="1159"/>
    </row>
    <row r="252" spans="28:29" x14ac:dyDescent="0.2">
      <c r="AB252" s="1244"/>
      <c r="AC252" s="1159"/>
    </row>
    <row r="253" spans="28:29" x14ac:dyDescent="0.2">
      <c r="AB253" s="1244"/>
      <c r="AC253" s="1159"/>
    </row>
    <row r="254" spans="28:29" x14ac:dyDescent="0.2">
      <c r="AB254" s="1244"/>
      <c r="AC254" s="1159"/>
    </row>
    <row r="255" spans="28:29" x14ac:dyDescent="0.2">
      <c r="AB255" s="1244"/>
      <c r="AC255" s="1159"/>
    </row>
    <row r="256" spans="28:29" x14ac:dyDescent="0.2">
      <c r="AB256" s="1244"/>
      <c r="AC256" s="1159"/>
    </row>
    <row r="257" spans="28:29" x14ac:dyDescent="0.2">
      <c r="AB257" s="1244"/>
      <c r="AC257" s="1159"/>
    </row>
    <row r="258" spans="28:29" x14ac:dyDescent="0.2">
      <c r="AB258" s="1244"/>
      <c r="AC258" s="1159"/>
    </row>
    <row r="259" spans="28:29" x14ac:dyDescent="0.2">
      <c r="AB259" s="1244"/>
      <c r="AC259" s="1159"/>
    </row>
    <row r="260" spans="28:29" x14ac:dyDescent="0.2">
      <c r="AB260" s="1244"/>
      <c r="AC260" s="1159"/>
    </row>
    <row r="261" spans="28:29" x14ac:dyDescent="0.2">
      <c r="AB261" s="1244"/>
      <c r="AC261" s="1159"/>
    </row>
    <row r="262" spans="28:29" x14ac:dyDescent="0.2">
      <c r="AB262" s="1244"/>
      <c r="AC262" s="1159"/>
    </row>
    <row r="263" spans="28:29" x14ac:dyDescent="0.2">
      <c r="AB263" s="1244"/>
      <c r="AC263" s="1159"/>
    </row>
    <row r="264" spans="28:29" x14ac:dyDescent="0.2">
      <c r="AB264" s="1244"/>
      <c r="AC264" s="1159"/>
    </row>
    <row r="265" spans="28:29" x14ac:dyDescent="0.2">
      <c r="AB265" s="1244"/>
      <c r="AC265" s="1159"/>
    </row>
    <row r="266" spans="28:29" x14ac:dyDescent="0.2">
      <c r="AB266" s="1244"/>
      <c r="AC266" s="1159"/>
    </row>
    <row r="267" spans="28:29" x14ac:dyDescent="0.2">
      <c r="AB267" s="1244"/>
      <c r="AC267" s="1159"/>
    </row>
    <row r="268" spans="28:29" x14ac:dyDescent="0.2">
      <c r="AB268" s="1244"/>
      <c r="AC268" s="1159"/>
    </row>
    <row r="269" spans="28:29" x14ac:dyDescent="0.2">
      <c r="AB269" s="1244"/>
      <c r="AC269" s="1159"/>
    </row>
    <row r="270" spans="28:29" x14ac:dyDescent="0.2">
      <c r="AB270" s="1244"/>
      <c r="AC270" s="1159"/>
    </row>
    <row r="271" spans="28:29" x14ac:dyDescent="0.2">
      <c r="AB271" s="1244"/>
      <c r="AC271" s="1159"/>
    </row>
    <row r="272" spans="28:29" x14ac:dyDescent="0.2">
      <c r="AB272" s="1244"/>
      <c r="AC272" s="1159"/>
    </row>
    <row r="273" spans="28:29" x14ac:dyDescent="0.2">
      <c r="AB273" s="1244"/>
      <c r="AC273" s="1159"/>
    </row>
    <row r="274" spans="28:29" x14ac:dyDescent="0.2">
      <c r="AB274" s="1244"/>
      <c r="AC274" s="1159"/>
    </row>
    <row r="275" spans="28:29" x14ac:dyDescent="0.2">
      <c r="AB275" s="1244"/>
      <c r="AC275" s="1159"/>
    </row>
    <row r="276" spans="28:29" x14ac:dyDescent="0.2">
      <c r="AB276" s="1244"/>
      <c r="AC276" s="1159"/>
    </row>
    <row r="277" spans="28:29" x14ac:dyDescent="0.2">
      <c r="AB277" s="1244"/>
      <c r="AC277" s="1159"/>
    </row>
    <row r="278" spans="28:29" x14ac:dyDescent="0.2">
      <c r="AB278" s="1244"/>
      <c r="AC278" s="1159"/>
    </row>
    <row r="279" spans="28:29" x14ac:dyDescent="0.2">
      <c r="AB279" s="1244"/>
      <c r="AC279" s="1159"/>
    </row>
    <row r="280" spans="28:29" x14ac:dyDescent="0.2">
      <c r="AB280" s="1244"/>
      <c r="AC280" s="1159"/>
    </row>
    <row r="281" spans="28:29" x14ac:dyDescent="0.2">
      <c r="AB281" s="1244"/>
      <c r="AC281" s="1159"/>
    </row>
    <row r="282" spans="28:29" x14ac:dyDescent="0.2">
      <c r="AB282" s="1244"/>
      <c r="AC282" s="1159"/>
    </row>
    <row r="283" spans="28:29" x14ac:dyDescent="0.2">
      <c r="AB283" s="1244"/>
      <c r="AC283" s="1159"/>
    </row>
    <row r="284" spans="28:29" x14ac:dyDescent="0.2">
      <c r="AB284" s="1244"/>
      <c r="AC284" s="1159"/>
    </row>
    <row r="285" spans="28:29" x14ac:dyDescent="0.2">
      <c r="AB285" s="1244"/>
      <c r="AC285" s="1159"/>
    </row>
    <row r="286" spans="28:29" x14ac:dyDescent="0.2">
      <c r="AB286" s="1244"/>
      <c r="AC286" s="1159"/>
    </row>
    <row r="287" spans="28:29" x14ac:dyDescent="0.2">
      <c r="AB287" s="1244"/>
      <c r="AC287" s="1159"/>
    </row>
    <row r="288" spans="28:29" x14ac:dyDescent="0.2">
      <c r="AB288" s="1244"/>
      <c r="AC288" s="1159"/>
    </row>
  </sheetData>
  <sheetProtection sheet="1" objects="1" scenarios="1"/>
  <phoneticPr fontId="4" type="noConversion"/>
  <pageMargins left="0.75" right="0.75" top="1" bottom="1" header="0.5" footer="0.5"/>
  <pageSetup scale="76" orientation="portrait" horizontalDpi="200" verticalDpi="200" r:id="rId1"/>
  <headerFooter alignWithMargins="0"/>
  <drawing r:id="rId2"/>
  <legacyDrawing r:id="rId3"/>
  <controls>
    <mc:AlternateContent xmlns:mc="http://schemas.openxmlformats.org/markup-compatibility/2006">
      <mc:Choice Requires="x14">
        <control shapeId="123946" r:id="rId4" name="TextBox3">
          <controlPr defaultSize="0" autoLine="0" autoPict="0" linkedCell="Contacts!B61" r:id="rId5">
            <anchor moveWithCells="1">
              <from>
                <xdr:col>4</xdr:col>
                <xdr:colOff>19050</xdr:colOff>
                <xdr:row>5</xdr:row>
                <xdr:rowOff>85725</xdr:rowOff>
              </from>
              <to>
                <xdr:col>8</xdr:col>
                <xdr:colOff>400050</xdr:colOff>
                <xdr:row>6</xdr:row>
                <xdr:rowOff>123825</xdr:rowOff>
              </to>
            </anchor>
          </controlPr>
        </control>
      </mc:Choice>
      <mc:Fallback>
        <control shapeId="123946" r:id="rId4" name="TextBox3"/>
      </mc:Fallback>
    </mc:AlternateContent>
    <mc:AlternateContent xmlns:mc="http://schemas.openxmlformats.org/markup-compatibility/2006">
      <mc:Choice Requires="x14">
        <control shapeId="123947" r:id="rId6" name="TextBox4">
          <controlPr defaultSize="0" autoLine="0" autoPict="0" linkedCell="Contacts!B62" r:id="rId7">
            <anchor moveWithCells="1">
              <from>
                <xdr:col>4</xdr:col>
                <xdr:colOff>28575</xdr:colOff>
                <xdr:row>7</xdr:row>
                <xdr:rowOff>66675</xdr:rowOff>
              </from>
              <to>
                <xdr:col>5</xdr:col>
                <xdr:colOff>600075</xdr:colOff>
                <xdr:row>8</xdr:row>
                <xdr:rowOff>95250</xdr:rowOff>
              </to>
            </anchor>
          </controlPr>
        </control>
      </mc:Choice>
      <mc:Fallback>
        <control shapeId="123947" r:id="rId6" name="TextBox4"/>
      </mc:Fallback>
    </mc:AlternateContent>
    <mc:AlternateContent xmlns:mc="http://schemas.openxmlformats.org/markup-compatibility/2006">
      <mc:Choice Requires="x14">
        <control shapeId="123948" r:id="rId8" name="TextBox5">
          <controlPr defaultSize="0" autoLine="0" autoPict="0" linkedCell="Contacts!B65" r:id="rId9">
            <anchor moveWithCells="1">
              <from>
                <xdr:col>4</xdr:col>
                <xdr:colOff>19050</xdr:colOff>
                <xdr:row>9</xdr:row>
                <xdr:rowOff>38100</xdr:rowOff>
              </from>
              <to>
                <xdr:col>8</xdr:col>
                <xdr:colOff>400050</xdr:colOff>
                <xdr:row>10</xdr:row>
                <xdr:rowOff>66675</xdr:rowOff>
              </to>
            </anchor>
          </controlPr>
        </control>
      </mc:Choice>
      <mc:Fallback>
        <control shapeId="123948" r:id="rId8" name="TextBox5"/>
      </mc:Fallback>
    </mc:AlternateContent>
    <mc:AlternateContent xmlns:mc="http://schemas.openxmlformats.org/markup-compatibility/2006">
      <mc:Choice Requires="x14">
        <control shapeId="123950" r:id="rId10" name="TextBox6">
          <controlPr defaultSize="0" autoLine="0" autoPict="0" linkedCell="Contacts!B64" r:id="rId11">
            <anchor moveWithCells="1">
              <from>
                <xdr:col>6</xdr:col>
                <xdr:colOff>552450</xdr:colOff>
                <xdr:row>7</xdr:row>
                <xdr:rowOff>76200</xdr:rowOff>
              </from>
              <to>
                <xdr:col>8</xdr:col>
                <xdr:colOff>400050</xdr:colOff>
                <xdr:row>8</xdr:row>
                <xdr:rowOff>104775</xdr:rowOff>
              </to>
            </anchor>
          </controlPr>
        </control>
      </mc:Choice>
      <mc:Fallback>
        <control shapeId="123950" r:id="rId10" name="TextBox6"/>
      </mc:Fallback>
    </mc:AlternateContent>
    <mc:AlternateContent xmlns:mc="http://schemas.openxmlformats.org/markup-compatibility/2006">
      <mc:Choice Requires="x14">
        <control shapeId="124039" r:id="rId12" name="ToggleReferenceColumns">
          <controlPr defaultSize="0" autoLine="0" autoPict="0" r:id="rId13">
            <anchor moveWithCells="1">
              <from>
                <xdr:col>1</xdr:col>
                <xdr:colOff>38100</xdr:colOff>
                <xdr:row>28</xdr:row>
                <xdr:rowOff>57150</xdr:rowOff>
              </from>
              <to>
                <xdr:col>4</xdr:col>
                <xdr:colOff>47625</xdr:colOff>
                <xdr:row>29</xdr:row>
                <xdr:rowOff>133350</xdr:rowOff>
              </to>
            </anchor>
          </controlPr>
        </control>
      </mc:Choice>
      <mc:Fallback>
        <control shapeId="124039" r:id="rId12" name="ToggleReferenceColumns"/>
      </mc:Fallback>
    </mc:AlternateContent>
    <mc:AlternateContent xmlns:mc="http://schemas.openxmlformats.org/markup-compatibility/2006">
      <mc:Choice Requires="x14">
        <control shapeId="124040" r:id="rId14" name="TogglePreAuditColums">
          <controlPr defaultSize="0" autoLine="0" autoPict="0" r:id="rId15">
            <anchor moveWithCells="1">
              <from>
                <xdr:col>1</xdr:col>
                <xdr:colOff>47625</xdr:colOff>
                <xdr:row>26</xdr:row>
                <xdr:rowOff>95250</xdr:rowOff>
              </from>
              <to>
                <xdr:col>4</xdr:col>
                <xdr:colOff>57150</xdr:colOff>
                <xdr:row>28</xdr:row>
                <xdr:rowOff>19050</xdr:rowOff>
              </to>
            </anchor>
          </controlPr>
        </control>
      </mc:Choice>
      <mc:Fallback>
        <control shapeId="124040" r:id="rId14" name="TogglePreAuditColums"/>
      </mc:Fallback>
    </mc:AlternateContent>
    <mc:AlternateContent xmlns:mc="http://schemas.openxmlformats.org/markup-compatibility/2006">
      <mc:Choice Requires="x14">
        <control shapeId="124042" r:id="rId16" name="ToggleHiddenColumns">
          <controlPr defaultSize="0" autoLine="0" autoPict="0" r:id="rId17">
            <anchor moveWithCells="1">
              <from>
                <xdr:col>1</xdr:col>
                <xdr:colOff>28575</xdr:colOff>
                <xdr:row>31</xdr:row>
                <xdr:rowOff>142875</xdr:rowOff>
              </from>
              <to>
                <xdr:col>4</xdr:col>
                <xdr:colOff>38100</xdr:colOff>
                <xdr:row>33</xdr:row>
                <xdr:rowOff>76200</xdr:rowOff>
              </to>
            </anchor>
          </controlPr>
        </control>
      </mc:Choice>
      <mc:Fallback>
        <control shapeId="124042" r:id="rId16" name="ToggleHiddenColumns"/>
      </mc:Fallback>
    </mc:AlternateContent>
    <mc:AlternateContent xmlns:mc="http://schemas.openxmlformats.org/markup-compatibility/2006">
      <mc:Choice Requires="x14">
        <control shapeId="123931" r:id="rId18" name="Drop Down 27">
          <controlPr defaultSize="0" autoLine="0" autoPict="0">
            <anchor moveWithCells="1">
              <from>
                <xdr:col>4</xdr:col>
                <xdr:colOff>38100</xdr:colOff>
                <xdr:row>13</xdr:row>
                <xdr:rowOff>123825</xdr:rowOff>
              </from>
              <to>
                <xdr:col>5</xdr:col>
                <xdr:colOff>104775</xdr:colOff>
                <xdr:row>15</xdr:row>
                <xdr:rowOff>0</xdr:rowOff>
              </to>
            </anchor>
          </controlPr>
        </control>
      </mc:Choice>
    </mc:AlternateContent>
    <mc:AlternateContent xmlns:mc="http://schemas.openxmlformats.org/markup-compatibility/2006">
      <mc:Choice Requires="x14">
        <control shapeId="123932" r:id="rId19" name="Drop Down 28">
          <controlPr defaultSize="0" autoLine="0" autoPict="0">
            <anchor moveWithCells="1">
              <from>
                <xdr:col>4</xdr:col>
                <xdr:colOff>28575</xdr:colOff>
                <xdr:row>15</xdr:row>
                <xdr:rowOff>114300</xdr:rowOff>
              </from>
              <to>
                <xdr:col>6</xdr:col>
                <xdr:colOff>38100</xdr:colOff>
                <xdr:row>16</xdr:row>
                <xdr:rowOff>152400</xdr:rowOff>
              </to>
            </anchor>
          </controlPr>
        </control>
      </mc:Choice>
    </mc:AlternateContent>
    <mc:AlternateContent xmlns:mc="http://schemas.openxmlformats.org/markup-compatibility/2006">
      <mc:Choice Requires="x14">
        <control shapeId="123936" r:id="rId20" name="Drop Down 32">
          <controlPr defaultSize="0" autoLine="0" autoPict="0">
            <anchor moveWithCells="1">
              <from>
                <xdr:col>4</xdr:col>
                <xdr:colOff>28575</xdr:colOff>
                <xdr:row>11</xdr:row>
                <xdr:rowOff>104775</xdr:rowOff>
              </from>
              <to>
                <xdr:col>5</xdr:col>
                <xdr:colOff>381000</xdr:colOff>
                <xdr:row>12</xdr:row>
                <xdr:rowOff>142875</xdr:rowOff>
              </to>
            </anchor>
          </controlPr>
        </control>
      </mc:Choice>
    </mc:AlternateContent>
    <mc:AlternateContent xmlns:mc="http://schemas.openxmlformats.org/markup-compatibility/2006">
      <mc:Choice Requires="x14">
        <control shapeId="124151" r:id="rId21" name="Drop Down 247">
          <controlPr defaultSize="0" autoLine="0" autoPict="0">
            <anchor moveWithCells="1">
              <from>
                <xdr:col>4</xdr:col>
                <xdr:colOff>28575</xdr:colOff>
                <xdr:row>3</xdr:row>
                <xdr:rowOff>57150</xdr:rowOff>
              </from>
              <to>
                <xdr:col>8</xdr:col>
                <xdr:colOff>409575</xdr:colOff>
                <xdr:row>4</xdr:row>
                <xdr:rowOff>85725</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tabColor indexed="42"/>
    <pageSetUpPr fitToPage="1"/>
  </sheetPr>
  <dimension ref="A1:P285"/>
  <sheetViews>
    <sheetView showGridLines="0" tabSelected="1" workbookViewId="0">
      <pane xSplit="1" ySplit="4" topLeftCell="B147"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338" customWidth="1"/>
    <col min="2" max="2" width="3" style="1928"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6" s="178" customFormat="1" x14ac:dyDescent="0.2">
      <c r="A1" s="1997" t="s">
        <v>2503</v>
      </c>
      <c r="B1" s="1997"/>
      <c r="C1" s="1997"/>
      <c r="D1" s="1997"/>
      <c r="E1" s="1997"/>
      <c r="F1" s="1997"/>
      <c r="G1" s="1997"/>
      <c r="H1" s="1997"/>
      <c r="I1" s="1997"/>
      <c r="J1" s="1997"/>
      <c r="K1" s="1997"/>
      <c r="L1" s="1997"/>
    </row>
    <row r="2" spans="1:16" ht="28.5" customHeight="1" x14ac:dyDescent="0.25">
      <c r="A2" s="2727" t="s">
        <v>775</v>
      </c>
      <c r="B2" s="2729" t="s">
        <v>429</v>
      </c>
      <c r="C2" s="149" t="s">
        <v>2478</v>
      </c>
      <c r="D2" s="149" t="s">
        <v>2479</v>
      </c>
      <c r="E2" s="1996" t="s">
        <v>2480</v>
      </c>
      <c r="F2" s="2700" t="s">
        <v>2481</v>
      </c>
      <c r="G2" s="2701"/>
      <c r="H2" s="2701"/>
      <c r="I2" s="2701"/>
      <c r="J2" s="2697" t="s">
        <v>2482</v>
      </c>
      <c r="K2" s="2698"/>
      <c r="L2" s="2699"/>
    </row>
    <row r="3" spans="1:16" ht="25.5" x14ac:dyDescent="0.25">
      <c r="A3" s="2728"/>
      <c r="B3" s="2730"/>
      <c r="C3" s="2017" t="s">
        <v>1065</v>
      </c>
      <c r="D3" s="2017" t="s">
        <v>1065</v>
      </c>
      <c r="E3" s="152" t="s">
        <v>1065</v>
      </c>
      <c r="F3" s="150" t="s">
        <v>467</v>
      </c>
      <c r="G3" s="2017" t="s">
        <v>1807</v>
      </c>
      <c r="H3" s="152" t="s">
        <v>1808</v>
      </c>
      <c r="I3" s="2014" t="s">
        <v>672</v>
      </c>
      <c r="J3" s="150" t="s">
        <v>2483</v>
      </c>
      <c r="K3" s="2017" t="s">
        <v>2484</v>
      </c>
      <c r="L3" s="152" t="s">
        <v>2485</v>
      </c>
    </row>
    <row r="4" spans="1:16" x14ac:dyDescent="0.25">
      <c r="A4" s="179" t="s">
        <v>667</v>
      </c>
      <c r="B4" s="277"/>
      <c r="C4" s="2011"/>
      <c r="D4" s="2011"/>
      <c r="E4" s="155"/>
      <c r="F4" s="154"/>
      <c r="G4" s="2011"/>
      <c r="H4" s="155"/>
      <c r="I4" s="156"/>
      <c r="J4" s="154"/>
      <c r="K4" s="2011"/>
      <c r="L4" s="155"/>
    </row>
    <row r="5" spans="1:16" x14ac:dyDescent="0.25">
      <c r="A5" s="305" t="s">
        <v>542</v>
      </c>
      <c r="B5" s="2180"/>
      <c r="C5" s="2181"/>
      <c r="D5" s="2181"/>
      <c r="E5" s="206"/>
      <c r="F5" s="455"/>
      <c r="G5" s="2181"/>
      <c r="H5" s="206"/>
      <c r="I5" s="331"/>
      <c r="J5" s="2182"/>
      <c r="K5" s="2181"/>
      <c r="L5" s="206"/>
    </row>
    <row r="6" spans="1:16" x14ac:dyDescent="0.25">
      <c r="A6" s="364" t="s">
        <v>543</v>
      </c>
      <c r="B6" s="280">
        <v>6</v>
      </c>
      <c r="C6" s="456"/>
      <c r="D6" s="456"/>
      <c r="E6" s="206"/>
      <c r="F6" s="455"/>
      <c r="G6" s="456"/>
      <c r="H6" s="206"/>
      <c r="I6" s="331"/>
      <c r="J6" s="2183"/>
      <c r="K6" s="456"/>
      <c r="L6" s="206"/>
      <c r="M6" s="338"/>
      <c r="N6" s="338"/>
      <c r="O6" s="338"/>
      <c r="P6" s="338"/>
    </row>
    <row r="7" spans="1:16" x14ac:dyDescent="0.25">
      <c r="A7" s="1020" t="s">
        <v>443</v>
      </c>
      <c r="B7" s="280"/>
      <c r="C7" s="2184">
        <v>2889951.94</v>
      </c>
      <c r="D7" s="2184">
        <v>5060887.66</v>
      </c>
      <c r="E7" s="2185">
        <v>2926569.3589999643</v>
      </c>
      <c r="F7" s="2186">
        <v>5075538</v>
      </c>
      <c r="G7" s="2184">
        <v>5075538</v>
      </c>
      <c r="H7" s="2185">
        <v>5075538</v>
      </c>
      <c r="I7" s="1777">
        <v>5075538</v>
      </c>
      <c r="J7" s="2187">
        <v>6893406.9289299985</v>
      </c>
      <c r="K7" s="2184">
        <v>7307011.3446657984</v>
      </c>
      <c r="L7" s="2185">
        <v>7745432.0253457464</v>
      </c>
      <c r="M7" s="338"/>
      <c r="N7" s="338"/>
      <c r="O7" s="338"/>
      <c r="P7" s="338"/>
    </row>
    <row r="8" spans="1:16" x14ac:dyDescent="0.25">
      <c r="A8" s="1251" t="s">
        <v>444</v>
      </c>
      <c r="B8" s="280"/>
      <c r="C8" s="2188">
        <v>0</v>
      </c>
      <c r="D8" s="2188">
        <v>918502.65</v>
      </c>
      <c r="E8" s="2189">
        <v>318658.33782799914</v>
      </c>
      <c r="F8" s="2190">
        <v>1195373</v>
      </c>
      <c r="G8" s="2188">
        <v>770000</v>
      </c>
      <c r="H8" s="2189">
        <v>770000</v>
      </c>
      <c r="I8" s="2191">
        <v>770000</v>
      </c>
      <c r="J8" s="2187">
        <v>697300.68900001561</v>
      </c>
      <c r="K8" s="2188">
        <v>739138.73034001654</v>
      </c>
      <c r="L8" s="2189">
        <v>783487.05416041752</v>
      </c>
      <c r="M8" s="338"/>
      <c r="N8" s="338"/>
      <c r="O8" s="338"/>
      <c r="P8" s="338"/>
    </row>
    <row r="9" spans="1:16" x14ac:dyDescent="0.25">
      <c r="A9" s="1260" t="s">
        <v>445</v>
      </c>
      <c r="B9" s="280"/>
      <c r="C9" s="259">
        <v>2889951.94</v>
      </c>
      <c r="D9" s="259">
        <v>4142385.0100000002</v>
      </c>
      <c r="E9" s="260">
        <v>2607911.0211719652</v>
      </c>
      <c r="F9" s="261">
        <v>3880165</v>
      </c>
      <c r="G9" s="259">
        <v>4305538</v>
      </c>
      <c r="H9" s="260">
        <v>4305538</v>
      </c>
      <c r="I9" s="258">
        <v>4305538</v>
      </c>
      <c r="J9" s="262">
        <v>6196106.2399299834</v>
      </c>
      <c r="K9" s="259">
        <v>6567872.6143257823</v>
      </c>
      <c r="L9" s="260">
        <v>6961944.9711853284</v>
      </c>
      <c r="M9" s="338"/>
      <c r="N9" s="338"/>
      <c r="O9" s="338"/>
      <c r="P9" s="338"/>
    </row>
    <row r="10" spans="1:16" ht="5.0999999999999996" customHeight="1" x14ac:dyDescent="0.25">
      <c r="A10" s="302"/>
      <c r="B10" s="280"/>
      <c r="C10" s="456"/>
      <c r="D10" s="456"/>
      <c r="E10" s="206"/>
      <c r="F10" s="455"/>
      <c r="G10" s="456"/>
      <c r="H10" s="206"/>
      <c r="I10" s="331"/>
      <c r="J10" s="2183"/>
      <c r="K10" s="456"/>
      <c r="L10" s="206"/>
      <c r="M10" s="338"/>
      <c r="N10" s="338"/>
      <c r="O10" s="338"/>
      <c r="P10" s="338"/>
    </row>
    <row r="11" spans="1:16" x14ac:dyDescent="0.25">
      <c r="A11" s="364" t="s">
        <v>1809</v>
      </c>
      <c r="B11" s="280">
        <v>6</v>
      </c>
      <c r="C11" s="456"/>
      <c r="D11" s="456"/>
      <c r="E11" s="206"/>
      <c r="F11" s="455"/>
      <c r="G11" s="456"/>
      <c r="H11" s="206"/>
      <c r="I11" s="331"/>
      <c r="J11" s="2183"/>
      <c r="K11" s="456"/>
      <c r="L11" s="206"/>
      <c r="M11" s="338"/>
      <c r="N11" s="338"/>
      <c r="O11" s="338"/>
      <c r="P11" s="338"/>
    </row>
    <row r="12" spans="1:16" x14ac:dyDescent="0.25">
      <c r="A12" s="1020" t="s">
        <v>2385</v>
      </c>
      <c r="B12" s="280"/>
      <c r="C12" s="2184">
        <v>4834438.16</v>
      </c>
      <c r="D12" s="2184">
        <v>5866359.4800000004</v>
      </c>
      <c r="E12" s="2185">
        <v>7261558.4100000001</v>
      </c>
      <c r="F12" s="2186">
        <v>5289862.8486000011</v>
      </c>
      <c r="G12" s="2184">
        <v>6919055</v>
      </c>
      <c r="H12" s="2185">
        <v>6919055</v>
      </c>
      <c r="I12" s="1777">
        <v>6919055</v>
      </c>
      <c r="J12" s="2187">
        <v>10177803.952679999</v>
      </c>
      <c r="K12" s="2184">
        <v>10788472.189840801</v>
      </c>
      <c r="L12" s="2185">
        <v>11435780.51723125</v>
      </c>
      <c r="M12" s="338"/>
      <c r="N12" s="338"/>
      <c r="O12" s="338"/>
      <c r="P12" s="338"/>
    </row>
    <row r="13" spans="1:16" x14ac:dyDescent="0.25">
      <c r="A13" s="1251" t="s">
        <v>444</v>
      </c>
      <c r="B13" s="280"/>
      <c r="C13" s="2188">
        <v>0</v>
      </c>
      <c r="D13" s="2188">
        <v>0</v>
      </c>
      <c r="E13" s="2189">
        <v>0</v>
      </c>
      <c r="F13" s="2190">
        <v>0</v>
      </c>
      <c r="G13" s="2188">
        <v>0</v>
      </c>
      <c r="H13" s="2189">
        <v>0</v>
      </c>
      <c r="I13" s="2191">
        <v>0</v>
      </c>
      <c r="J13" s="2187">
        <v>0</v>
      </c>
      <c r="K13" s="2188">
        <v>0</v>
      </c>
      <c r="L13" s="2189">
        <v>0</v>
      </c>
      <c r="M13" s="338"/>
      <c r="N13" s="338"/>
      <c r="O13" s="338"/>
      <c r="P13" s="338"/>
    </row>
    <row r="14" spans="1:16" ht="12.75" customHeight="1" x14ac:dyDescent="0.25">
      <c r="A14" s="1260" t="s">
        <v>2504</v>
      </c>
      <c r="B14" s="280"/>
      <c r="C14" s="259">
        <v>4834438.16</v>
      </c>
      <c r="D14" s="259">
        <v>5866359.4800000004</v>
      </c>
      <c r="E14" s="260">
        <v>7261558.4100000001</v>
      </c>
      <c r="F14" s="261">
        <v>5289862.8486000011</v>
      </c>
      <c r="G14" s="259">
        <v>6919055</v>
      </c>
      <c r="H14" s="260">
        <v>6919055</v>
      </c>
      <c r="I14" s="258">
        <v>6919055</v>
      </c>
      <c r="J14" s="262">
        <v>10177803.952679999</v>
      </c>
      <c r="K14" s="259">
        <v>10788472.189840801</v>
      </c>
      <c r="L14" s="260">
        <v>11435780.51723125</v>
      </c>
      <c r="M14" s="338"/>
      <c r="N14" s="338"/>
      <c r="O14" s="338"/>
      <c r="P14" s="338"/>
    </row>
    <row r="15" spans="1:16" ht="5.0999999999999996" customHeight="1" x14ac:dyDescent="0.25">
      <c r="B15" s="280"/>
      <c r="C15" s="553"/>
      <c r="D15" s="553"/>
      <c r="E15" s="2079"/>
      <c r="F15" s="2192"/>
      <c r="G15" s="553"/>
      <c r="H15" s="2079"/>
      <c r="I15" s="234"/>
      <c r="J15" s="2193"/>
      <c r="K15" s="553"/>
      <c r="L15" s="2079"/>
      <c r="M15" s="338"/>
      <c r="N15" s="338"/>
      <c r="O15" s="338"/>
      <c r="P15" s="338"/>
    </row>
    <row r="16" spans="1:16" x14ac:dyDescent="0.25">
      <c r="A16" s="951" t="s">
        <v>1810</v>
      </c>
      <c r="B16" s="280">
        <v>6</v>
      </c>
      <c r="C16" s="553"/>
      <c r="D16" s="553"/>
      <c r="E16" s="2079"/>
      <c r="F16" s="2192"/>
      <c r="G16" s="553"/>
      <c r="H16" s="2079"/>
      <c r="I16" s="234"/>
      <c r="J16" s="2193"/>
      <c r="K16" s="553"/>
      <c r="L16" s="2079"/>
      <c r="M16" s="338"/>
      <c r="N16" s="338"/>
      <c r="O16" s="338"/>
      <c r="P16" s="338"/>
    </row>
    <row r="17" spans="1:16" x14ac:dyDescent="0.25">
      <c r="A17" s="1020" t="s">
        <v>2386</v>
      </c>
      <c r="B17" s="280"/>
      <c r="C17" s="2184">
        <v>2957271.5399999996</v>
      </c>
      <c r="D17" s="2194">
        <v>3231883.5300000003</v>
      </c>
      <c r="E17" s="2195">
        <v>3806969.3400000008</v>
      </c>
      <c r="F17" s="2196">
        <v>2109020</v>
      </c>
      <c r="G17" s="2194">
        <v>3464384</v>
      </c>
      <c r="H17" s="2195">
        <v>3464384</v>
      </c>
      <c r="I17" s="839">
        <v>3464384</v>
      </c>
      <c r="J17" s="2197">
        <v>3431423</v>
      </c>
      <c r="K17" s="2194">
        <v>3637308.38</v>
      </c>
      <c r="L17" s="2195">
        <v>3855546.8827999998</v>
      </c>
      <c r="M17" s="338"/>
      <c r="N17" s="338"/>
      <c r="O17" s="338"/>
      <c r="P17" s="338"/>
    </row>
    <row r="18" spans="1:16" x14ac:dyDescent="0.25">
      <c r="A18" s="1251" t="s">
        <v>444</v>
      </c>
      <c r="B18" s="280"/>
      <c r="C18" s="2188">
        <v>0</v>
      </c>
      <c r="D18" s="2188">
        <v>0</v>
      </c>
      <c r="E18" s="2189">
        <v>0</v>
      </c>
      <c r="F18" s="2190">
        <v>0</v>
      </c>
      <c r="G18" s="2188">
        <v>0</v>
      </c>
      <c r="H18" s="2189">
        <v>0</v>
      </c>
      <c r="I18" s="2191">
        <v>0</v>
      </c>
      <c r="J18" s="2198">
        <v>0</v>
      </c>
      <c r="K18" s="2188">
        <v>0</v>
      </c>
      <c r="L18" s="2189">
        <v>0</v>
      </c>
      <c r="M18" s="338"/>
      <c r="N18" s="338"/>
      <c r="O18" s="338"/>
      <c r="P18" s="338"/>
    </row>
    <row r="19" spans="1:16" x14ac:dyDescent="0.25">
      <c r="A19" s="1260" t="s">
        <v>2505</v>
      </c>
      <c r="B19" s="280"/>
      <c r="C19" s="259">
        <v>2957271.5399999996</v>
      </c>
      <c r="D19" s="259">
        <v>3231883.5300000003</v>
      </c>
      <c r="E19" s="260">
        <v>3806969.3400000008</v>
      </c>
      <c r="F19" s="261">
        <v>2109020</v>
      </c>
      <c r="G19" s="259">
        <v>3464384</v>
      </c>
      <c r="H19" s="260">
        <v>3464384</v>
      </c>
      <c r="I19" s="258">
        <v>3464384</v>
      </c>
      <c r="J19" s="262">
        <v>3431423</v>
      </c>
      <c r="K19" s="259">
        <v>3637308.38</v>
      </c>
      <c r="L19" s="260">
        <v>3855546.8827999998</v>
      </c>
      <c r="M19" s="338"/>
      <c r="N19" s="338"/>
      <c r="O19" s="338"/>
      <c r="P19" s="338"/>
    </row>
    <row r="20" spans="1:16" ht="4.5" customHeight="1" x14ac:dyDescent="0.25">
      <c r="A20" s="1260"/>
      <c r="B20" s="280"/>
      <c r="C20" s="553"/>
      <c r="D20" s="553"/>
      <c r="E20" s="2079"/>
      <c r="F20" s="2192"/>
      <c r="G20" s="553"/>
      <c r="H20" s="2079"/>
      <c r="I20" s="234"/>
      <c r="J20" s="2193"/>
      <c r="K20" s="553"/>
      <c r="L20" s="2079"/>
      <c r="M20" s="338"/>
      <c r="N20" s="338"/>
      <c r="O20" s="338"/>
      <c r="P20" s="338"/>
    </row>
    <row r="21" spans="1:16" x14ac:dyDescent="0.25">
      <c r="A21" s="951" t="s">
        <v>936</v>
      </c>
      <c r="B21" s="280"/>
      <c r="C21" s="553"/>
      <c r="D21" s="553"/>
      <c r="E21" s="2079"/>
      <c r="F21" s="2192"/>
      <c r="G21" s="553"/>
      <c r="H21" s="2079"/>
      <c r="I21" s="234"/>
      <c r="J21" s="2193"/>
      <c r="K21" s="553"/>
      <c r="L21" s="2079"/>
      <c r="M21" s="338"/>
      <c r="N21" s="338"/>
      <c r="O21" s="338"/>
      <c r="P21" s="338"/>
    </row>
    <row r="22" spans="1:16" x14ac:dyDescent="0.25">
      <c r="A22" s="1020" t="s">
        <v>2387</v>
      </c>
      <c r="B22" s="280"/>
      <c r="C22" s="2184">
        <v>2219998.0700000003</v>
      </c>
      <c r="D22" s="2194">
        <v>1596030.43</v>
      </c>
      <c r="E22" s="2195">
        <v>2344313.23</v>
      </c>
      <c r="F22" s="2196">
        <v>1603001</v>
      </c>
      <c r="G22" s="2194">
        <v>1719799</v>
      </c>
      <c r="H22" s="2195">
        <v>1719799</v>
      </c>
      <c r="I22" s="839">
        <v>1719799</v>
      </c>
      <c r="J22" s="2197">
        <v>4516765.4241599999</v>
      </c>
      <c r="K22" s="2194">
        <v>4787771.3496096004</v>
      </c>
      <c r="L22" s="2195">
        <v>5075037.6285861796</v>
      </c>
      <c r="M22" s="338"/>
      <c r="N22" s="338"/>
      <c r="O22" s="338"/>
      <c r="P22" s="338"/>
    </row>
    <row r="23" spans="1:16" x14ac:dyDescent="0.25">
      <c r="A23" s="1251" t="s">
        <v>444</v>
      </c>
      <c r="B23" s="280"/>
      <c r="C23" s="2188">
        <v>0</v>
      </c>
      <c r="D23" s="2188">
        <v>0</v>
      </c>
      <c r="E23" s="2189">
        <v>0</v>
      </c>
      <c r="F23" s="2190">
        <v>0</v>
      </c>
      <c r="G23" s="2188">
        <v>0</v>
      </c>
      <c r="H23" s="2189">
        <v>0</v>
      </c>
      <c r="I23" s="2191">
        <v>0</v>
      </c>
      <c r="J23" s="2198">
        <v>0</v>
      </c>
      <c r="K23" s="2188">
        <v>0</v>
      </c>
      <c r="L23" s="2189">
        <v>0</v>
      </c>
      <c r="M23" s="338"/>
      <c r="N23" s="338"/>
      <c r="O23" s="338"/>
      <c r="P23" s="338"/>
    </row>
    <row r="24" spans="1:16" x14ac:dyDescent="0.25">
      <c r="A24" s="1260" t="s">
        <v>2506</v>
      </c>
      <c r="B24" s="280"/>
      <c r="C24" s="259">
        <v>2219998.0700000003</v>
      </c>
      <c r="D24" s="259">
        <v>1596030.43</v>
      </c>
      <c r="E24" s="260">
        <v>2344313.23</v>
      </c>
      <c r="F24" s="261">
        <v>1603001</v>
      </c>
      <c r="G24" s="259">
        <v>1719799</v>
      </c>
      <c r="H24" s="260">
        <v>1719799</v>
      </c>
      <c r="I24" s="258">
        <v>1719799</v>
      </c>
      <c r="J24" s="262">
        <v>4516765.4241599999</v>
      </c>
      <c r="K24" s="259">
        <v>4787771.3496096004</v>
      </c>
      <c r="L24" s="260">
        <v>5075037.6285861796</v>
      </c>
      <c r="M24" s="338"/>
      <c r="N24" s="338"/>
      <c r="O24" s="338"/>
      <c r="P24" s="338"/>
    </row>
    <row r="25" spans="1:16" ht="4.5" customHeight="1" x14ac:dyDescent="0.25">
      <c r="A25" s="1260"/>
      <c r="B25" s="280"/>
      <c r="C25" s="553"/>
      <c r="D25" s="553"/>
      <c r="E25" s="2079"/>
      <c r="F25" s="2192"/>
      <c r="G25" s="553"/>
      <c r="H25" s="2079"/>
      <c r="I25" s="234"/>
      <c r="J25" s="2193"/>
      <c r="K25" s="553"/>
      <c r="L25" s="2079"/>
      <c r="M25" s="338"/>
      <c r="N25" s="338"/>
      <c r="O25" s="338"/>
      <c r="P25" s="338"/>
    </row>
    <row r="26" spans="1:16" x14ac:dyDescent="0.25">
      <c r="A26" s="364" t="s">
        <v>1047</v>
      </c>
      <c r="B26" s="280">
        <v>6</v>
      </c>
      <c r="C26" s="456"/>
      <c r="D26" s="456"/>
      <c r="E26" s="206"/>
      <c r="F26" s="455"/>
      <c r="G26" s="456"/>
      <c r="H26" s="206"/>
      <c r="I26" s="331"/>
      <c r="J26" s="2183"/>
      <c r="K26" s="456"/>
      <c r="L26" s="206"/>
      <c r="M26" s="338"/>
      <c r="N26" s="338"/>
      <c r="O26" s="338"/>
      <c r="P26" s="338"/>
    </row>
    <row r="27" spans="1:16" ht="11.25" customHeight="1" x14ac:dyDescent="0.25">
      <c r="A27" s="1020" t="s">
        <v>1572</v>
      </c>
      <c r="B27" s="280"/>
      <c r="C27" s="2184">
        <v>1951875.28</v>
      </c>
      <c r="D27" s="1030">
        <v>2234835.48</v>
      </c>
      <c r="E27" s="1065">
        <v>2433361</v>
      </c>
      <c r="F27" s="1066">
        <v>2592865</v>
      </c>
      <c r="G27" s="1030">
        <v>2502865</v>
      </c>
      <c r="H27" s="1065">
        <v>2502865</v>
      </c>
      <c r="I27" s="1067">
        <v>2502865</v>
      </c>
      <c r="J27" s="1031">
        <v>3268366.6</v>
      </c>
      <c r="K27" s="1030">
        <v>3464468.5959999999</v>
      </c>
      <c r="L27" s="1065">
        <v>3672336.7117599999</v>
      </c>
      <c r="M27" s="338"/>
      <c r="N27" s="338"/>
      <c r="O27" s="338"/>
      <c r="P27" s="338"/>
    </row>
    <row r="28" spans="1:16" ht="11.25" customHeight="1" x14ac:dyDescent="0.25">
      <c r="A28" s="1020" t="s">
        <v>1573</v>
      </c>
      <c r="B28" s="280"/>
      <c r="C28" s="2184">
        <v>0</v>
      </c>
      <c r="D28" s="1030">
        <v>0</v>
      </c>
      <c r="E28" s="1065">
        <v>0</v>
      </c>
      <c r="F28" s="1066">
        <v>0</v>
      </c>
      <c r="G28" s="1030">
        <v>0</v>
      </c>
      <c r="H28" s="1065">
        <v>0</v>
      </c>
      <c r="I28" s="1067">
        <v>0</v>
      </c>
      <c r="J28" s="1031">
        <v>0</v>
      </c>
      <c r="K28" s="1030">
        <v>0</v>
      </c>
      <c r="L28" s="1065">
        <v>0</v>
      </c>
      <c r="M28" s="338"/>
      <c r="N28" s="338"/>
      <c r="O28" s="338"/>
      <c r="P28" s="338"/>
    </row>
    <row r="29" spans="1:16" ht="11.25" customHeight="1" x14ac:dyDescent="0.25">
      <c r="A29" s="1251" t="s">
        <v>444</v>
      </c>
      <c r="B29" s="280"/>
      <c r="C29" s="2188">
        <v>0</v>
      </c>
      <c r="D29" s="1030">
        <v>0</v>
      </c>
      <c r="E29" s="1065">
        <v>0</v>
      </c>
      <c r="F29" s="1066">
        <v>0</v>
      </c>
      <c r="G29" s="1030">
        <v>0</v>
      </c>
      <c r="H29" s="1065">
        <v>0</v>
      </c>
      <c r="I29" s="1067">
        <v>0</v>
      </c>
      <c r="J29" s="1031">
        <v>0</v>
      </c>
      <c r="K29" s="1030">
        <v>0</v>
      </c>
      <c r="L29" s="1065">
        <v>0</v>
      </c>
      <c r="M29" s="338"/>
      <c r="N29" s="338"/>
      <c r="O29" s="338"/>
      <c r="P29" s="338"/>
    </row>
    <row r="30" spans="1:16" x14ac:dyDescent="0.25">
      <c r="A30" s="1260" t="s">
        <v>2507</v>
      </c>
      <c r="B30" s="280"/>
      <c r="C30" s="259">
        <v>1951875.28</v>
      </c>
      <c r="D30" s="259">
        <v>2234835.48</v>
      </c>
      <c r="E30" s="260">
        <v>2433361</v>
      </c>
      <c r="F30" s="261">
        <v>2592865</v>
      </c>
      <c r="G30" s="259">
        <v>2502865</v>
      </c>
      <c r="H30" s="260">
        <v>2502865</v>
      </c>
      <c r="I30" s="258">
        <v>2502865</v>
      </c>
      <c r="J30" s="262">
        <v>3268366.6</v>
      </c>
      <c r="K30" s="259">
        <v>3464468.5959999999</v>
      </c>
      <c r="L30" s="260">
        <v>3672336.7117599999</v>
      </c>
      <c r="M30" s="338"/>
      <c r="N30" s="338"/>
      <c r="O30" s="338"/>
      <c r="P30" s="338"/>
    </row>
    <row r="31" spans="1:16" ht="5.0999999999999996" customHeight="1" x14ac:dyDescent="0.25">
      <c r="A31" s="367"/>
      <c r="B31" s="280"/>
      <c r="C31" s="205"/>
      <c r="D31" s="205"/>
      <c r="E31" s="256"/>
      <c r="F31" s="246"/>
      <c r="G31" s="205"/>
      <c r="H31" s="256"/>
      <c r="I31" s="208"/>
      <c r="J31" s="209"/>
      <c r="K31" s="205"/>
      <c r="L31" s="256"/>
      <c r="M31" s="338"/>
      <c r="N31" s="338"/>
      <c r="O31" s="338"/>
      <c r="P31" s="338"/>
    </row>
    <row r="32" spans="1:16" ht="11.25" customHeight="1" x14ac:dyDescent="0.25">
      <c r="A32" s="364" t="s">
        <v>377</v>
      </c>
      <c r="B32" s="280"/>
      <c r="C32" s="776"/>
      <c r="D32" s="776"/>
      <c r="E32" s="779"/>
      <c r="F32" s="778"/>
      <c r="G32" s="776"/>
      <c r="H32" s="779"/>
      <c r="I32" s="2106"/>
      <c r="J32" s="2130"/>
      <c r="K32" s="776"/>
      <c r="L32" s="779"/>
      <c r="M32" s="338"/>
      <c r="N32" s="338"/>
      <c r="O32" s="338"/>
      <c r="P32" s="338"/>
    </row>
    <row r="33" spans="1:16" ht="11.25" customHeight="1" x14ac:dyDescent="0.25">
      <c r="A33" s="2199" t="s">
        <v>2344</v>
      </c>
      <c r="B33" s="280"/>
      <c r="C33" s="1030">
        <v>332116.52999999747</v>
      </c>
      <c r="D33" s="1030">
        <v>422500.95</v>
      </c>
      <c r="E33" s="1065">
        <v>123997.51000000001</v>
      </c>
      <c r="F33" s="1066">
        <v>171250</v>
      </c>
      <c r="G33" s="1030">
        <v>704050</v>
      </c>
      <c r="H33" s="1065">
        <v>704050</v>
      </c>
      <c r="I33" s="1067">
        <v>704050</v>
      </c>
      <c r="J33" s="1031">
        <v>209750</v>
      </c>
      <c r="K33" s="1030">
        <v>222335</v>
      </c>
      <c r="L33" s="1065">
        <v>235675.10000000006</v>
      </c>
      <c r="M33" s="338"/>
      <c r="N33" s="338"/>
      <c r="O33" s="338"/>
      <c r="P33" s="338"/>
    </row>
    <row r="34" spans="1:16" ht="11.25" customHeight="1" x14ac:dyDescent="0.25">
      <c r="A34" s="2199" t="s">
        <v>2357</v>
      </c>
      <c r="B34" s="280"/>
      <c r="C34" s="1030">
        <v>0</v>
      </c>
      <c r="D34" s="1030">
        <v>34426.86</v>
      </c>
      <c r="E34" s="1065">
        <v>0</v>
      </c>
      <c r="F34" s="1066">
        <v>35000</v>
      </c>
      <c r="G34" s="1030">
        <v>35000</v>
      </c>
      <c r="H34" s="1065">
        <v>35000</v>
      </c>
      <c r="I34" s="1067">
        <v>35000</v>
      </c>
      <c r="J34" s="1031">
        <v>35000</v>
      </c>
      <c r="K34" s="1030">
        <v>37100</v>
      </c>
      <c r="L34" s="1065">
        <v>39326</v>
      </c>
      <c r="M34" s="338"/>
      <c r="N34" s="338"/>
      <c r="O34" s="338"/>
      <c r="P34" s="338"/>
    </row>
    <row r="35" spans="1:16" ht="11.25" customHeight="1" x14ac:dyDescent="0.25">
      <c r="A35" s="2199" t="s">
        <v>2365</v>
      </c>
      <c r="B35" s="280"/>
      <c r="C35" s="1030">
        <v>404409</v>
      </c>
      <c r="D35" s="1030">
        <v>13890</v>
      </c>
      <c r="E35" s="1065">
        <v>0</v>
      </c>
      <c r="F35" s="1066">
        <v>0</v>
      </c>
      <c r="G35" s="1030">
        <v>0</v>
      </c>
      <c r="H35" s="1065">
        <v>0</v>
      </c>
      <c r="I35" s="1067">
        <v>0</v>
      </c>
      <c r="J35" s="1031">
        <v>0</v>
      </c>
      <c r="K35" s="1030">
        <v>0</v>
      </c>
      <c r="L35" s="1065">
        <v>0</v>
      </c>
      <c r="M35" s="338"/>
      <c r="N35" s="338"/>
      <c r="O35" s="338"/>
      <c r="P35" s="338"/>
    </row>
    <row r="36" spans="1:16" ht="11.25" customHeight="1" x14ac:dyDescent="0.25">
      <c r="A36" s="2200" t="s">
        <v>2388</v>
      </c>
      <c r="B36" s="280"/>
      <c r="C36" s="1030">
        <v>10473816</v>
      </c>
      <c r="D36" s="1030">
        <v>684159.81</v>
      </c>
      <c r="E36" s="1065">
        <v>498880</v>
      </c>
      <c r="F36" s="1066">
        <v>310000</v>
      </c>
      <c r="G36" s="1030">
        <v>310000</v>
      </c>
      <c r="H36" s="1065">
        <v>310000</v>
      </c>
      <c r="I36" s="1067">
        <v>310000</v>
      </c>
      <c r="J36" s="1031">
        <v>30000</v>
      </c>
      <c r="K36" s="1030">
        <v>31800</v>
      </c>
      <c r="L36" s="1065">
        <v>33708</v>
      </c>
      <c r="M36" s="338"/>
      <c r="N36" s="338"/>
      <c r="O36" s="338"/>
      <c r="P36" s="338"/>
    </row>
    <row r="37" spans="1:16" ht="11.25" customHeight="1" x14ac:dyDescent="0.25">
      <c r="A37" s="2199" t="s">
        <v>2356</v>
      </c>
      <c r="B37" s="280"/>
      <c r="C37" s="1030">
        <v>38850</v>
      </c>
      <c r="D37" s="1030">
        <v>0</v>
      </c>
      <c r="E37" s="1065">
        <v>21800</v>
      </c>
      <c r="F37" s="1066">
        <v>0</v>
      </c>
      <c r="G37" s="1030">
        <v>0</v>
      </c>
      <c r="H37" s="1065">
        <v>0</v>
      </c>
      <c r="I37" s="1067">
        <v>0</v>
      </c>
      <c r="J37" s="1031">
        <v>0</v>
      </c>
      <c r="K37" s="1030">
        <v>0</v>
      </c>
      <c r="L37" s="1065">
        <v>0</v>
      </c>
      <c r="M37" s="338"/>
      <c r="N37" s="338"/>
      <c r="O37" s="338"/>
      <c r="P37" s="338"/>
    </row>
    <row r="38" spans="1:16" ht="11.25" customHeight="1" x14ac:dyDescent="0.25">
      <c r="A38" s="2200" t="s">
        <v>2350</v>
      </c>
      <c r="B38" s="280"/>
      <c r="C38" s="1030">
        <v>343700.82</v>
      </c>
      <c r="D38" s="1030">
        <v>0</v>
      </c>
      <c r="E38" s="1065">
        <v>0</v>
      </c>
      <c r="F38" s="1066">
        <v>0</v>
      </c>
      <c r="G38" s="1030">
        <v>0</v>
      </c>
      <c r="H38" s="1065">
        <v>0</v>
      </c>
      <c r="I38" s="1067">
        <v>0</v>
      </c>
      <c r="J38" s="1031">
        <v>0</v>
      </c>
      <c r="K38" s="1030">
        <v>0</v>
      </c>
      <c r="L38" s="1065">
        <v>0</v>
      </c>
      <c r="M38" s="338"/>
      <c r="N38" s="338"/>
      <c r="O38" s="338"/>
      <c r="P38" s="338"/>
    </row>
    <row r="39" spans="1:16" ht="11.25" customHeight="1" x14ac:dyDescent="0.25">
      <c r="A39" s="2200" t="s">
        <v>2351</v>
      </c>
      <c r="B39" s="280"/>
      <c r="C39" s="1030">
        <v>72954.31</v>
      </c>
      <c r="D39" s="1030">
        <v>276111.84999999998</v>
      </c>
      <c r="E39" s="1065">
        <v>28183</v>
      </c>
      <c r="F39" s="1066">
        <v>0</v>
      </c>
      <c r="G39" s="1030">
        <v>0</v>
      </c>
      <c r="H39" s="1065">
        <v>0</v>
      </c>
      <c r="I39" s="1067">
        <v>0</v>
      </c>
      <c r="J39" s="1031">
        <v>0</v>
      </c>
      <c r="K39" s="1030">
        <v>0</v>
      </c>
      <c r="L39" s="1065">
        <v>0</v>
      </c>
      <c r="M39" s="338"/>
      <c r="N39" s="338"/>
      <c r="O39" s="338"/>
      <c r="P39" s="338"/>
    </row>
    <row r="40" spans="1:16" ht="11.25" customHeight="1" x14ac:dyDescent="0.25">
      <c r="A40" s="2200"/>
      <c r="B40" s="280"/>
      <c r="C40" s="1030"/>
      <c r="D40" s="1030"/>
      <c r="E40" s="1065"/>
      <c r="F40" s="1066"/>
      <c r="G40" s="1030"/>
      <c r="H40" s="1065"/>
      <c r="I40" s="1067"/>
      <c r="J40" s="1031"/>
      <c r="K40" s="1030"/>
      <c r="L40" s="1065"/>
      <c r="M40" s="338"/>
      <c r="N40" s="338"/>
      <c r="O40" s="338"/>
      <c r="P40" s="338"/>
    </row>
    <row r="41" spans="1:16" ht="11.25" customHeight="1" x14ac:dyDescent="0.25">
      <c r="A41" s="2200"/>
      <c r="B41" s="280"/>
      <c r="C41" s="1030"/>
      <c r="D41" s="1030"/>
      <c r="E41" s="1065"/>
      <c r="F41" s="1066"/>
      <c r="G41" s="1030"/>
      <c r="H41" s="1065"/>
      <c r="I41" s="1067"/>
      <c r="J41" s="1031"/>
      <c r="K41" s="1030"/>
      <c r="L41" s="1065"/>
      <c r="M41" s="338"/>
      <c r="N41" s="338"/>
      <c r="O41" s="338"/>
      <c r="P41" s="338"/>
    </row>
    <row r="42" spans="1:16" ht="11.25" customHeight="1" x14ac:dyDescent="0.25">
      <c r="A42" s="2200"/>
      <c r="B42" s="280"/>
      <c r="C42" s="1030"/>
      <c r="D42" s="1030"/>
      <c r="E42" s="1065"/>
      <c r="F42" s="1066"/>
      <c r="G42" s="1030"/>
      <c r="H42" s="1065"/>
      <c r="I42" s="1067"/>
      <c r="J42" s="1031"/>
      <c r="K42" s="1030"/>
      <c r="L42" s="1065"/>
      <c r="M42" s="338"/>
      <c r="N42" s="338"/>
      <c r="O42" s="338"/>
      <c r="P42" s="338"/>
    </row>
    <row r="43" spans="1:16" ht="11.25" customHeight="1" x14ac:dyDescent="0.25">
      <c r="A43" s="2200"/>
      <c r="B43" s="280"/>
      <c r="C43" s="1030"/>
      <c r="D43" s="1030"/>
      <c r="E43" s="1065"/>
      <c r="F43" s="1066"/>
      <c r="G43" s="1030"/>
      <c r="H43" s="1065"/>
      <c r="I43" s="1067"/>
      <c r="J43" s="1031"/>
      <c r="K43" s="1030"/>
      <c r="L43" s="1065"/>
      <c r="M43" s="338"/>
      <c r="N43" s="338"/>
      <c r="O43" s="338"/>
      <c r="P43" s="338"/>
    </row>
    <row r="44" spans="1:16" ht="11.25" customHeight="1" x14ac:dyDescent="0.25">
      <c r="A44" s="2200"/>
      <c r="B44" s="280">
        <v>3</v>
      </c>
      <c r="C44" s="1030"/>
      <c r="D44" s="1030"/>
      <c r="E44" s="1065"/>
      <c r="F44" s="1066"/>
      <c r="G44" s="1030"/>
      <c r="H44" s="1065"/>
      <c r="I44" s="1067"/>
      <c r="J44" s="1031"/>
      <c r="K44" s="1030"/>
      <c r="L44" s="1065"/>
      <c r="M44" s="338"/>
      <c r="N44" s="338"/>
      <c r="O44" s="338"/>
      <c r="P44" s="338"/>
    </row>
    <row r="45" spans="1:16" ht="11.25" customHeight="1" x14ac:dyDescent="0.25">
      <c r="A45" s="1260" t="s">
        <v>1214</v>
      </c>
      <c r="B45" s="280">
        <v>1</v>
      </c>
      <c r="C45" s="259">
        <v>11665846.659999998</v>
      </c>
      <c r="D45" s="259">
        <v>1431089.4700000002</v>
      </c>
      <c r="E45" s="260">
        <v>672860.51</v>
      </c>
      <c r="F45" s="261">
        <v>516250</v>
      </c>
      <c r="G45" s="259">
        <v>1049050</v>
      </c>
      <c r="H45" s="260">
        <v>1049050</v>
      </c>
      <c r="I45" s="258">
        <v>1049050</v>
      </c>
      <c r="J45" s="262">
        <v>274750</v>
      </c>
      <c r="K45" s="259">
        <v>291235</v>
      </c>
      <c r="L45" s="260">
        <v>308709.10000000009</v>
      </c>
      <c r="M45" s="338"/>
      <c r="N45" s="338"/>
      <c r="O45" s="338"/>
      <c r="P45" s="338"/>
    </row>
    <row r="46" spans="1:16" ht="5.0999999999999996" customHeight="1" x14ac:dyDescent="0.25">
      <c r="A46" s="367"/>
      <c r="B46" s="280"/>
      <c r="C46" s="205"/>
      <c r="D46" s="205"/>
      <c r="E46" s="256"/>
      <c r="F46" s="246"/>
      <c r="G46" s="205"/>
      <c r="H46" s="256"/>
      <c r="I46" s="208"/>
      <c r="J46" s="209"/>
      <c r="K46" s="205"/>
      <c r="L46" s="256"/>
      <c r="M46" s="338"/>
      <c r="N46" s="338"/>
      <c r="O46" s="338"/>
      <c r="P46" s="338"/>
    </row>
    <row r="47" spans="1:16" ht="15.75" customHeight="1" x14ac:dyDescent="0.25">
      <c r="A47" s="386" t="s">
        <v>541</v>
      </c>
      <c r="B47" s="2201"/>
      <c r="C47" s="333"/>
      <c r="D47" s="333"/>
      <c r="E47" s="334"/>
      <c r="F47" s="335"/>
      <c r="G47" s="333"/>
      <c r="H47" s="334"/>
      <c r="I47" s="1053"/>
      <c r="J47" s="1050"/>
      <c r="K47" s="333"/>
      <c r="L47" s="334"/>
      <c r="M47" s="338"/>
      <c r="N47" s="338"/>
      <c r="O47" s="338"/>
      <c r="P47" s="338"/>
    </row>
    <row r="48" spans="1:16" ht="11.25" customHeight="1" x14ac:dyDescent="0.25">
      <c r="A48" s="364" t="s">
        <v>478</v>
      </c>
      <c r="B48" s="280"/>
      <c r="C48" s="205"/>
      <c r="D48" s="205"/>
      <c r="E48" s="256"/>
      <c r="F48" s="246"/>
      <c r="G48" s="205"/>
      <c r="H48" s="256"/>
      <c r="I48" s="208"/>
      <c r="J48" s="209"/>
      <c r="K48" s="205"/>
      <c r="L48" s="256"/>
      <c r="M48" s="338"/>
      <c r="N48" s="338"/>
      <c r="O48" s="338"/>
      <c r="P48" s="338"/>
    </row>
    <row r="49" spans="1:16" ht="11.25" customHeight="1" x14ac:dyDescent="0.25">
      <c r="A49" s="302" t="s">
        <v>1309</v>
      </c>
      <c r="B49" s="280">
        <v>2</v>
      </c>
      <c r="C49" s="1030">
        <v>7999670.1600000011</v>
      </c>
      <c r="D49" s="1030">
        <v>9384205.629999999</v>
      </c>
      <c r="E49" s="1065">
        <v>11888812.509999998</v>
      </c>
      <c r="F49" s="1066">
        <v>16457592</v>
      </c>
      <c r="G49" s="1030">
        <v>17567559</v>
      </c>
      <c r="H49" s="1065">
        <v>17567559</v>
      </c>
      <c r="I49" s="1067">
        <v>17567559</v>
      </c>
      <c r="J49" s="1031">
        <v>18100542.700800002</v>
      </c>
      <c r="K49" s="1030">
        <v>19186575.262848005</v>
      </c>
      <c r="L49" s="1065">
        <v>20337769.77861888</v>
      </c>
      <c r="M49" s="338"/>
      <c r="N49" s="338"/>
      <c r="O49" s="338"/>
      <c r="P49" s="338"/>
    </row>
    <row r="50" spans="1:16" ht="11.25" customHeight="1" x14ac:dyDescent="0.25">
      <c r="A50" s="302" t="s">
        <v>2060</v>
      </c>
      <c r="B50" s="280"/>
      <c r="C50" s="1030">
        <v>1233966.2799999996</v>
      </c>
      <c r="D50" s="1030">
        <v>1537174.59</v>
      </c>
      <c r="E50" s="1065">
        <v>1762004.5300000003</v>
      </c>
      <c r="F50" s="1066">
        <v>2824291</v>
      </c>
      <c r="G50" s="1030">
        <v>2629745</v>
      </c>
      <c r="H50" s="1065">
        <v>2629745</v>
      </c>
      <c r="I50" s="1067">
        <v>2629745</v>
      </c>
      <c r="J50" s="1031">
        <v>4619938.0775311198</v>
      </c>
      <c r="K50" s="1030">
        <v>4897134.3621829888</v>
      </c>
      <c r="L50" s="1065">
        <v>5190962.4239139659</v>
      </c>
      <c r="M50" s="338"/>
      <c r="N50" s="338"/>
      <c r="O50" s="338"/>
      <c r="P50" s="338"/>
    </row>
    <row r="51" spans="1:16" ht="11.25" customHeight="1" x14ac:dyDescent="0.25">
      <c r="A51" s="302" t="s">
        <v>765</v>
      </c>
      <c r="B51" s="280"/>
      <c r="C51" s="1030">
        <v>233865.49999999997</v>
      </c>
      <c r="D51" s="1030">
        <v>234008.2</v>
      </c>
      <c r="E51" s="1065">
        <v>245331.04</v>
      </c>
      <c r="F51" s="1066">
        <v>212611</v>
      </c>
      <c r="G51" s="1030">
        <v>380815</v>
      </c>
      <c r="H51" s="1065">
        <v>380815</v>
      </c>
      <c r="I51" s="1067">
        <v>380815</v>
      </c>
      <c r="J51" s="1031">
        <v>394920.96844799997</v>
      </c>
      <c r="K51" s="1030">
        <v>418616.22655488004</v>
      </c>
      <c r="L51" s="1065">
        <v>443733.20014817285</v>
      </c>
      <c r="M51" s="338"/>
      <c r="N51" s="338"/>
      <c r="O51" s="338"/>
      <c r="P51" s="338"/>
    </row>
    <row r="52" spans="1:16" ht="11.25" customHeight="1" x14ac:dyDescent="0.25">
      <c r="A52" s="302" t="s">
        <v>1095</v>
      </c>
      <c r="B52" s="280"/>
      <c r="C52" s="1030">
        <v>532322.35</v>
      </c>
      <c r="D52" s="1030">
        <v>624856.85</v>
      </c>
      <c r="E52" s="1065">
        <v>1102794.6100000001</v>
      </c>
      <c r="F52" s="1066">
        <v>948500</v>
      </c>
      <c r="G52" s="1030">
        <v>1104100</v>
      </c>
      <c r="H52" s="1065">
        <v>1104100</v>
      </c>
      <c r="I52" s="1067">
        <v>1104100</v>
      </c>
      <c r="J52" s="1031">
        <v>1368525.8353600004</v>
      </c>
      <c r="K52" s="1030">
        <v>1450637.3854816</v>
      </c>
      <c r="L52" s="1065">
        <v>1537675.6286104964</v>
      </c>
      <c r="M52" s="338"/>
      <c r="N52" s="338"/>
      <c r="O52" s="338"/>
      <c r="P52" s="338"/>
    </row>
    <row r="53" spans="1:16" ht="11.25" customHeight="1" x14ac:dyDescent="0.25">
      <c r="A53" s="302" t="s">
        <v>767</v>
      </c>
      <c r="B53" s="280"/>
      <c r="C53" s="1030">
        <v>421001.99</v>
      </c>
      <c r="D53" s="1030">
        <v>505658.44000000006</v>
      </c>
      <c r="E53" s="1065">
        <v>644100.45999999985</v>
      </c>
      <c r="F53" s="1066">
        <v>1025735</v>
      </c>
      <c r="G53" s="1030">
        <v>1053899</v>
      </c>
      <c r="H53" s="1065">
        <v>1053899</v>
      </c>
      <c r="I53" s="1067">
        <v>1053899</v>
      </c>
      <c r="J53" s="1031">
        <v>1177958.4516</v>
      </c>
      <c r="K53" s="1030">
        <v>1248635.9586960003</v>
      </c>
      <c r="L53" s="1065">
        <v>1323554.1162177604</v>
      </c>
      <c r="M53" s="338"/>
      <c r="N53" s="338"/>
      <c r="O53" s="338"/>
      <c r="P53" s="338"/>
    </row>
    <row r="54" spans="1:16" ht="11.25" customHeight="1" x14ac:dyDescent="0.25">
      <c r="A54" s="302" t="s">
        <v>2218</v>
      </c>
      <c r="B54" s="280"/>
      <c r="C54" s="1030">
        <v>653124.46000000008</v>
      </c>
      <c r="D54" s="1030">
        <v>658455.56000000006</v>
      </c>
      <c r="E54" s="1065">
        <v>604140.46</v>
      </c>
      <c r="F54" s="1066">
        <v>716680</v>
      </c>
      <c r="G54" s="1030">
        <v>772579</v>
      </c>
      <c r="H54" s="1065">
        <v>772579</v>
      </c>
      <c r="I54" s="1067">
        <v>772579</v>
      </c>
      <c r="J54" s="1031">
        <v>778024.8</v>
      </c>
      <c r="K54" s="1030">
        <v>824706.28799999994</v>
      </c>
      <c r="L54" s="1065">
        <v>874188.66528000007</v>
      </c>
      <c r="M54" s="338"/>
      <c r="N54" s="338"/>
      <c r="O54" s="338"/>
      <c r="P54" s="338"/>
    </row>
    <row r="55" spans="1:16" ht="11.25" customHeight="1" x14ac:dyDescent="0.25">
      <c r="A55" s="302" t="s">
        <v>2061</v>
      </c>
      <c r="B55" s="280"/>
      <c r="C55" s="1030">
        <v>27993.079999999998</v>
      </c>
      <c r="D55" s="1030">
        <v>26445.18</v>
      </c>
      <c r="E55" s="1065">
        <v>24743.38</v>
      </c>
      <c r="F55" s="1066">
        <v>37907</v>
      </c>
      <c r="G55" s="1030">
        <v>43120</v>
      </c>
      <c r="H55" s="1065">
        <v>43120</v>
      </c>
      <c r="I55" s="1067">
        <v>43120</v>
      </c>
      <c r="J55" s="1031">
        <v>537480.59480000008</v>
      </c>
      <c r="K55" s="1030">
        <v>569729.43048800004</v>
      </c>
      <c r="L55" s="1065">
        <v>603913.19631728018</v>
      </c>
      <c r="M55" s="338"/>
      <c r="N55" s="338"/>
      <c r="O55" s="338"/>
      <c r="P55" s="338"/>
    </row>
    <row r="56" spans="1:16" ht="11.25" customHeight="1" x14ac:dyDescent="0.25">
      <c r="A56" s="302" t="s">
        <v>2219</v>
      </c>
      <c r="B56" s="280"/>
      <c r="C56" s="1030">
        <v>46878.1</v>
      </c>
      <c r="D56" s="1030">
        <v>47963.79</v>
      </c>
      <c r="E56" s="1065">
        <v>46558.04</v>
      </c>
      <c r="F56" s="1066">
        <v>72540</v>
      </c>
      <c r="G56" s="1030">
        <v>77216</v>
      </c>
      <c r="H56" s="1065">
        <v>77216</v>
      </c>
      <c r="I56" s="1067">
        <v>77216</v>
      </c>
      <c r="J56" s="1031">
        <v>98113.17</v>
      </c>
      <c r="K56" s="1030">
        <v>103999.9602</v>
      </c>
      <c r="L56" s="1065">
        <v>110239.95781199999</v>
      </c>
      <c r="M56" s="338"/>
      <c r="N56" s="338"/>
      <c r="O56" s="338"/>
      <c r="P56" s="338"/>
    </row>
    <row r="57" spans="1:16" ht="11.25" customHeight="1" x14ac:dyDescent="0.25">
      <c r="A57" s="302" t="s">
        <v>1543</v>
      </c>
      <c r="B57" s="280"/>
      <c r="C57" s="1030">
        <v>58542.600000000006</v>
      </c>
      <c r="D57" s="1030">
        <v>61412.98</v>
      </c>
      <c r="E57" s="1065">
        <v>212718.23000000004</v>
      </c>
      <c r="F57" s="1066">
        <v>160950</v>
      </c>
      <c r="G57" s="1030">
        <v>200185</v>
      </c>
      <c r="H57" s="1065">
        <v>200185</v>
      </c>
      <c r="I57" s="1067">
        <v>200185</v>
      </c>
      <c r="J57" s="1031">
        <v>168585.47552000001</v>
      </c>
      <c r="K57" s="1030">
        <v>178700.6040512</v>
      </c>
      <c r="L57" s="1065">
        <v>189422.64029427205</v>
      </c>
      <c r="M57" s="338"/>
      <c r="N57" s="338"/>
      <c r="O57" s="338"/>
      <c r="P57" s="338"/>
    </row>
    <row r="58" spans="1:16" ht="11.25" customHeight="1" x14ac:dyDescent="0.25">
      <c r="A58" s="302" t="s">
        <v>1672</v>
      </c>
      <c r="B58" s="280"/>
      <c r="C58" s="1030">
        <v>288865.59000000003</v>
      </c>
      <c r="D58" s="1030">
        <v>43547.550000000017</v>
      </c>
      <c r="E58" s="1065">
        <v>604355.27</v>
      </c>
      <c r="F58" s="1066">
        <v>222000</v>
      </c>
      <c r="G58" s="1030">
        <v>229000</v>
      </c>
      <c r="H58" s="1065">
        <v>229000</v>
      </c>
      <c r="I58" s="1067">
        <v>229000</v>
      </c>
      <c r="J58" s="1031">
        <v>961430.88509999996</v>
      </c>
      <c r="K58" s="1030">
        <v>1019116.7382060001</v>
      </c>
      <c r="L58" s="1065">
        <v>1080263.7424983603</v>
      </c>
      <c r="M58" s="338"/>
      <c r="N58" s="338"/>
      <c r="O58" s="338"/>
      <c r="P58" s="338"/>
    </row>
    <row r="59" spans="1:16" ht="11.25" customHeight="1" x14ac:dyDescent="0.25">
      <c r="A59" s="302" t="s">
        <v>1096</v>
      </c>
      <c r="B59" s="280"/>
      <c r="C59" s="1030">
        <v>11323</v>
      </c>
      <c r="D59" s="1030">
        <v>7981</v>
      </c>
      <c r="E59" s="1065">
        <v>4142</v>
      </c>
      <c r="F59" s="1066">
        <v>0</v>
      </c>
      <c r="G59" s="1030">
        <v>0</v>
      </c>
      <c r="H59" s="1065">
        <v>0</v>
      </c>
      <c r="I59" s="1067">
        <v>0</v>
      </c>
      <c r="J59" s="1031">
        <v>0</v>
      </c>
      <c r="K59" s="1030">
        <v>0</v>
      </c>
      <c r="L59" s="1065">
        <v>0</v>
      </c>
      <c r="M59" s="338"/>
      <c r="N59" s="338"/>
      <c r="O59" s="338"/>
      <c r="P59" s="338"/>
    </row>
    <row r="60" spans="1:16" ht="11.25" customHeight="1" x14ac:dyDescent="0.25">
      <c r="A60" s="302" t="s">
        <v>1673</v>
      </c>
      <c r="B60" s="280">
        <v>4</v>
      </c>
      <c r="C60" s="1030">
        <v>308460.59999999998</v>
      </c>
      <c r="D60" s="1030">
        <v>79328</v>
      </c>
      <c r="E60" s="1065">
        <v>90364</v>
      </c>
      <c r="F60" s="1066">
        <v>600000</v>
      </c>
      <c r="G60" s="1030">
        <v>397364</v>
      </c>
      <c r="H60" s="1065">
        <v>397364</v>
      </c>
      <c r="I60" s="1067">
        <v>397364</v>
      </c>
      <c r="J60" s="1031">
        <v>400000</v>
      </c>
      <c r="K60" s="1030">
        <v>424000</v>
      </c>
      <c r="L60" s="1065">
        <v>449440</v>
      </c>
      <c r="M60" s="338"/>
      <c r="N60" s="338"/>
      <c r="O60" s="338"/>
      <c r="P60" s="338"/>
    </row>
    <row r="61" spans="1:16" ht="11.25" customHeight="1" x14ac:dyDescent="0.25">
      <c r="A61" s="2202" t="s">
        <v>139</v>
      </c>
      <c r="B61" s="280">
        <v>5</v>
      </c>
      <c r="C61" s="259">
        <v>11816013.710000001</v>
      </c>
      <c r="D61" s="259">
        <v>13211037.769999998</v>
      </c>
      <c r="E61" s="260">
        <v>17230064.529999997</v>
      </c>
      <c r="F61" s="261">
        <v>23278806</v>
      </c>
      <c r="G61" s="259">
        <v>24455582</v>
      </c>
      <c r="H61" s="260">
        <v>24455582</v>
      </c>
      <c r="I61" s="258">
        <v>24455582</v>
      </c>
      <c r="J61" s="262">
        <v>28605520.959159125</v>
      </c>
      <c r="K61" s="259">
        <v>30321852.216708675</v>
      </c>
      <c r="L61" s="260">
        <v>32141163.349711191</v>
      </c>
      <c r="M61" s="338"/>
      <c r="N61" s="338"/>
      <c r="O61" s="338"/>
      <c r="P61" s="338"/>
    </row>
    <row r="62" spans="1:16" ht="11.25" customHeight="1" x14ac:dyDescent="0.25">
      <c r="A62" s="1250" t="s">
        <v>500</v>
      </c>
      <c r="B62" s="280"/>
      <c r="C62" s="1030">
        <v>0</v>
      </c>
      <c r="D62" s="1030">
        <v>0</v>
      </c>
      <c r="E62" s="1065">
        <v>0</v>
      </c>
      <c r="F62" s="1066">
        <v>0</v>
      </c>
      <c r="G62" s="1030">
        <v>0</v>
      </c>
      <c r="H62" s="1065">
        <v>0</v>
      </c>
      <c r="I62" s="1067">
        <v>0</v>
      </c>
      <c r="J62" s="1031">
        <v>0</v>
      </c>
      <c r="K62" s="1030">
        <v>0</v>
      </c>
      <c r="L62" s="1065">
        <v>0</v>
      </c>
      <c r="M62" s="338"/>
      <c r="N62" s="338"/>
      <c r="O62" s="338"/>
      <c r="P62" s="338"/>
    </row>
    <row r="63" spans="1:16" ht="11.25" customHeight="1" x14ac:dyDescent="0.25">
      <c r="A63" s="305" t="s">
        <v>2508</v>
      </c>
      <c r="B63" s="280">
        <v>1</v>
      </c>
      <c r="C63" s="259">
        <v>11816013.710000001</v>
      </c>
      <c r="D63" s="259">
        <v>13211037.769999998</v>
      </c>
      <c r="E63" s="260">
        <v>17230064.529999997</v>
      </c>
      <c r="F63" s="261">
        <v>23278806</v>
      </c>
      <c r="G63" s="259">
        <v>24455582</v>
      </c>
      <c r="H63" s="260">
        <v>24455582</v>
      </c>
      <c r="I63" s="258">
        <v>24455582</v>
      </c>
      <c r="J63" s="262">
        <v>28605520.959159125</v>
      </c>
      <c r="K63" s="259">
        <v>30321852.216708675</v>
      </c>
      <c r="L63" s="260">
        <v>32141163.349711191</v>
      </c>
      <c r="M63" s="338"/>
      <c r="N63" s="338"/>
      <c r="O63" s="338"/>
      <c r="P63" s="338"/>
    </row>
    <row r="64" spans="1:16" ht="5.0999999999999996" customHeight="1" x14ac:dyDescent="0.25">
      <c r="A64" s="367"/>
      <c r="B64" s="280"/>
      <c r="C64" s="205"/>
      <c r="D64" s="205"/>
      <c r="E64" s="256"/>
      <c r="F64" s="246"/>
      <c r="G64" s="205"/>
      <c r="H64" s="256"/>
      <c r="I64" s="208"/>
      <c r="J64" s="209"/>
      <c r="K64" s="205"/>
      <c r="L64" s="256"/>
      <c r="M64" s="338"/>
      <c r="N64" s="338"/>
      <c r="O64" s="338"/>
      <c r="P64" s="338"/>
    </row>
    <row r="65" spans="1:16" ht="11.25" customHeight="1" x14ac:dyDescent="0.25">
      <c r="A65" s="364" t="s">
        <v>819</v>
      </c>
      <c r="B65" s="280"/>
      <c r="C65" s="1030"/>
      <c r="D65" s="1030"/>
      <c r="E65" s="1065"/>
      <c r="F65" s="1066"/>
      <c r="G65" s="1030"/>
      <c r="H65" s="1065"/>
      <c r="I65" s="1067"/>
      <c r="J65" s="1031"/>
      <c r="K65" s="1030"/>
      <c r="L65" s="1065"/>
      <c r="M65" s="338"/>
      <c r="N65" s="338"/>
      <c r="O65" s="338"/>
      <c r="P65" s="338"/>
    </row>
    <row r="66" spans="1:16" ht="11.25" customHeight="1" x14ac:dyDescent="0.25">
      <c r="A66" s="2199" t="s">
        <v>820</v>
      </c>
      <c r="B66" s="280"/>
      <c r="C66" s="1030"/>
      <c r="D66" s="1030"/>
      <c r="E66" s="1065"/>
      <c r="F66" s="1066"/>
      <c r="G66" s="1030"/>
      <c r="H66" s="1065"/>
      <c r="I66" s="1067"/>
      <c r="J66" s="1031"/>
      <c r="K66" s="1030"/>
      <c r="L66" s="1065"/>
      <c r="M66" s="338"/>
      <c r="N66" s="338"/>
      <c r="O66" s="338"/>
      <c r="P66" s="338"/>
    </row>
    <row r="67" spans="1:16" ht="11.25" customHeight="1" x14ac:dyDescent="0.25">
      <c r="A67" s="2199"/>
      <c r="B67" s="280"/>
      <c r="C67" s="1030"/>
      <c r="D67" s="1030"/>
      <c r="E67" s="1065"/>
      <c r="F67" s="1066"/>
      <c r="G67" s="1030"/>
      <c r="H67" s="1065"/>
      <c r="I67" s="1067"/>
      <c r="J67" s="1031"/>
      <c r="K67" s="1030"/>
      <c r="L67" s="1065"/>
      <c r="M67" s="338"/>
      <c r="N67" s="338"/>
      <c r="O67" s="338"/>
      <c r="P67" s="338"/>
    </row>
    <row r="68" spans="1:16" ht="11.25" customHeight="1" x14ac:dyDescent="0.25">
      <c r="A68" s="2199"/>
      <c r="B68" s="280"/>
      <c r="C68" s="1030"/>
      <c r="D68" s="1030"/>
      <c r="E68" s="1065"/>
      <c r="F68" s="1066"/>
      <c r="G68" s="1030"/>
      <c r="H68" s="1065"/>
      <c r="I68" s="1067"/>
      <c r="J68" s="1031"/>
      <c r="K68" s="1030"/>
      <c r="L68" s="1065"/>
      <c r="M68" s="338"/>
      <c r="N68" s="338"/>
      <c r="O68" s="338"/>
      <c r="P68" s="338"/>
    </row>
    <row r="69" spans="1:16" ht="11.25" customHeight="1" x14ac:dyDescent="0.25">
      <c r="A69" s="2199"/>
      <c r="B69" s="280"/>
      <c r="C69" s="1030"/>
      <c r="D69" s="1030"/>
      <c r="E69" s="1065"/>
      <c r="F69" s="1066"/>
      <c r="G69" s="1030"/>
      <c r="H69" s="1065"/>
      <c r="I69" s="1067"/>
      <c r="J69" s="1031"/>
      <c r="K69" s="1030"/>
      <c r="L69" s="1065"/>
      <c r="M69" s="338"/>
      <c r="N69" s="338"/>
      <c r="O69" s="338"/>
      <c r="P69" s="338"/>
    </row>
    <row r="70" spans="1:16" ht="11.25" customHeight="1" x14ac:dyDescent="0.25">
      <c r="A70" s="2199"/>
      <c r="B70" s="280"/>
      <c r="C70" s="1030"/>
      <c r="D70" s="1030"/>
      <c r="E70" s="1065"/>
      <c r="F70" s="1066"/>
      <c r="G70" s="1030"/>
      <c r="H70" s="1065"/>
      <c r="I70" s="1067"/>
      <c r="J70" s="1031"/>
      <c r="K70" s="1030"/>
      <c r="L70" s="1065"/>
      <c r="M70" s="338"/>
      <c r="N70" s="338"/>
      <c r="O70" s="338"/>
      <c r="P70" s="338"/>
    </row>
    <row r="71" spans="1:16" ht="11.25" customHeight="1" x14ac:dyDescent="0.25">
      <c r="A71" s="2199"/>
      <c r="B71" s="280"/>
      <c r="C71" s="1030"/>
      <c r="D71" s="1030"/>
      <c r="E71" s="1065"/>
      <c r="F71" s="1066"/>
      <c r="G71" s="1030"/>
      <c r="H71" s="1065"/>
      <c r="I71" s="1067"/>
      <c r="J71" s="1031"/>
      <c r="K71" s="1030"/>
      <c r="L71" s="1065"/>
      <c r="M71" s="338"/>
      <c r="N71" s="338"/>
      <c r="O71" s="338"/>
      <c r="P71" s="338"/>
    </row>
    <row r="72" spans="1:16" ht="11.25" customHeight="1" x14ac:dyDescent="0.25">
      <c r="A72" s="305" t="s">
        <v>2509</v>
      </c>
      <c r="B72" s="280"/>
      <c r="C72" s="259">
        <v>0</v>
      </c>
      <c r="D72" s="259">
        <v>0</v>
      </c>
      <c r="E72" s="260">
        <v>0</v>
      </c>
      <c r="F72" s="261">
        <v>0</v>
      </c>
      <c r="G72" s="259">
        <v>0</v>
      </c>
      <c r="H72" s="260">
        <v>0</v>
      </c>
      <c r="I72" s="258">
        <v>0</v>
      </c>
      <c r="J72" s="262">
        <v>0</v>
      </c>
      <c r="K72" s="259">
        <v>0</v>
      </c>
      <c r="L72" s="260">
        <v>0</v>
      </c>
      <c r="M72" s="338"/>
      <c r="N72" s="338"/>
      <c r="O72" s="338"/>
      <c r="P72" s="338"/>
    </row>
    <row r="73" spans="1:16" ht="5.0999999999999996" customHeight="1" x14ac:dyDescent="0.25">
      <c r="A73" s="367"/>
      <c r="B73" s="280"/>
      <c r="C73" s="205"/>
      <c r="D73" s="205"/>
      <c r="E73" s="256"/>
      <c r="F73" s="246"/>
      <c r="G73" s="205"/>
      <c r="H73" s="256"/>
      <c r="I73" s="208"/>
      <c r="J73" s="209"/>
      <c r="K73" s="205"/>
      <c r="L73" s="256"/>
      <c r="M73" s="338"/>
      <c r="N73" s="338"/>
      <c r="O73" s="338"/>
      <c r="P73" s="338"/>
    </row>
    <row r="74" spans="1:16" ht="11.25" customHeight="1" x14ac:dyDescent="0.25">
      <c r="A74" s="364" t="s">
        <v>1503</v>
      </c>
      <c r="B74" s="280"/>
      <c r="C74" s="205"/>
      <c r="D74" s="205"/>
      <c r="E74" s="256"/>
      <c r="F74" s="246"/>
      <c r="G74" s="205"/>
      <c r="H74" s="256"/>
      <c r="I74" s="208"/>
      <c r="J74" s="209"/>
      <c r="K74" s="205"/>
      <c r="L74" s="256"/>
      <c r="M74" s="338"/>
      <c r="N74" s="338"/>
      <c r="O74" s="338"/>
      <c r="P74" s="338"/>
    </row>
    <row r="75" spans="1:16" ht="11.25" customHeight="1" x14ac:dyDescent="0.25">
      <c r="A75" s="302" t="s">
        <v>1594</v>
      </c>
      <c r="B75" s="280"/>
      <c r="C75" s="1030">
        <v>4025720.9765738035</v>
      </c>
      <c r="D75" s="1030">
        <v>5134460.8401873177</v>
      </c>
      <c r="E75" s="1065">
        <v>5329024.9893118404</v>
      </c>
      <c r="F75" s="1066">
        <v>5357533</v>
      </c>
      <c r="G75" s="1030">
        <v>5357533</v>
      </c>
      <c r="H75" s="1065">
        <v>5357533</v>
      </c>
      <c r="I75" s="1067">
        <v>5357533</v>
      </c>
      <c r="J75" s="1031">
        <v>5723968.540000001</v>
      </c>
      <c r="K75" s="1030">
        <v>6067370.652400001</v>
      </c>
      <c r="L75" s="1065">
        <v>6431376.8915440002</v>
      </c>
      <c r="M75" s="338"/>
      <c r="N75" s="338"/>
      <c r="O75" s="338"/>
      <c r="P75" s="338"/>
    </row>
    <row r="76" spans="1:16" ht="11.25" customHeight="1" x14ac:dyDescent="0.25">
      <c r="A76" s="302" t="s">
        <v>961</v>
      </c>
      <c r="B76" s="280"/>
      <c r="C76" s="1030">
        <v>0</v>
      </c>
      <c r="D76" s="1030">
        <v>0</v>
      </c>
      <c r="E76" s="1065">
        <v>0</v>
      </c>
      <c r="F76" s="1066">
        <v>0</v>
      </c>
      <c r="G76" s="1030">
        <v>0</v>
      </c>
      <c r="H76" s="1065">
        <v>0</v>
      </c>
      <c r="I76" s="1067">
        <v>0</v>
      </c>
      <c r="J76" s="1031">
        <v>0</v>
      </c>
      <c r="K76" s="1030">
        <v>0</v>
      </c>
      <c r="L76" s="1065">
        <v>0</v>
      </c>
      <c r="M76" s="338"/>
      <c r="N76" s="338"/>
      <c r="O76" s="338"/>
      <c r="P76" s="338"/>
    </row>
    <row r="77" spans="1:16" ht="11.25" customHeight="1" x14ac:dyDescent="0.25">
      <c r="A77" s="302" t="s">
        <v>1472</v>
      </c>
      <c r="B77" s="280"/>
      <c r="C77" s="1030">
        <v>0</v>
      </c>
      <c r="D77" s="1030">
        <v>130.58677848022842</v>
      </c>
      <c r="E77" s="1065">
        <v>424.48922845542262</v>
      </c>
      <c r="F77" s="1066">
        <v>0</v>
      </c>
      <c r="G77" s="1030">
        <v>0</v>
      </c>
      <c r="H77" s="1065">
        <v>0</v>
      </c>
      <c r="I77" s="1067">
        <v>0</v>
      </c>
      <c r="J77" s="1031">
        <v>0</v>
      </c>
      <c r="K77" s="1030">
        <v>0</v>
      </c>
      <c r="L77" s="1065">
        <v>0</v>
      </c>
      <c r="M77" s="338"/>
      <c r="N77" s="338"/>
      <c r="O77" s="338"/>
      <c r="P77" s="338"/>
    </row>
    <row r="78" spans="1:16" ht="11.25" customHeight="1" x14ac:dyDescent="0.25">
      <c r="A78" s="302" t="s">
        <v>2220</v>
      </c>
      <c r="B78" s="280">
        <v>10</v>
      </c>
      <c r="C78" s="1030">
        <v>0</v>
      </c>
      <c r="D78" s="1030">
        <v>0</v>
      </c>
      <c r="E78" s="1065">
        <v>0</v>
      </c>
      <c r="F78" s="1066">
        <v>0</v>
      </c>
      <c r="G78" s="1030">
        <v>0</v>
      </c>
      <c r="H78" s="1065">
        <v>0</v>
      </c>
      <c r="I78" s="1067">
        <v>0</v>
      </c>
      <c r="J78" s="1031">
        <v>0</v>
      </c>
      <c r="K78" s="1030">
        <v>0</v>
      </c>
      <c r="L78" s="1065">
        <v>0</v>
      </c>
      <c r="M78" s="338"/>
      <c r="N78" s="338"/>
      <c r="O78" s="338"/>
      <c r="P78" s="338"/>
    </row>
    <row r="79" spans="1:16" ht="11.25" customHeight="1" x14ac:dyDescent="0.25">
      <c r="A79" s="305" t="s">
        <v>2510</v>
      </c>
      <c r="B79" s="280">
        <v>1</v>
      </c>
      <c r="C79" s="259">
        <v>4025720.9765738035</v>
      </c>
      <c r="D79" s="259">
        <v>5134591.4269657983</v>
      </c>
      <c r="E79" s="260">
        <v>5329449.4785402957</v>
      </c>
      <c r="F79" s="261">
        <v>5357533</v>
      </c>
      <c r="G79" s="259">
        <v>5357533</v>
      </c>
      <c r="H79" s="260">
        <v>5357533</v>
      </c>
      <c r="I79" s="258">
        <v>5357533</v>
      </c>
      <c r="J79" s="262">
        <v>5723968.540000001</v>
      </c>
      <c r="K79" s="259">
        <v>6067370.652400001</v>
      </c>
      <c r="L79" s="260">
        <v>6431376.8915440002</v>
      </c>
      <c r="M79" s="338"/>
      <c r="N79" s="338"/>
      <c r="O79" s="338"/>
      <c r="P79" s="338"/>
    </row>
    <row r="80" spans="1:16" ht="5.0999999999999996" customHeight="1" x14ac:dyDescent="0.25">
      <c r="A80" s="305"/>
      <c r="B80" s="280"/>
      <c r="C80" s="357"/>
      <c r="D80" s="357"/>
      <c r="E80" s="313"/>
      <c r="F80" s="358"/>
      <c r="G80" s="357"/>
      <c r="H80" s="313"/>
      <c r="I80" s="359"/>
      <c r="J80" s="1190"/>
      <c r="K80" s="357"/>
      <c r="L80" s="313"/>
      <c r="M80" s="338"/>
      <c r="N80" s="338"/>
      <c r="O80" s="338"/>
      <c r="P80" s="338"/>
    </row>
    <row r="81" spans="1:16" ht="11.25" customHeight="1" x14ac:dyDescent="0.25">
      <c r="A81" s="364" t="s">
        <v>480</v>
      </c>
      <c r="B81" s="280"/>
      <c r="C81" s="357"/>
      <c r="D81" s="357"/>
      <c r="E81" s="313"/>
      <c r="F81" s="358"/>
      <c r="G81" s="357"/>
      <c r="H81" s="313"/>
      <c r="I81" s="359"/>
      <c r="J81" s="1190"/>
      <c r="K81" s="357"/>
      <c r="L81" s="313"/>
      <c r="M81" s="338"/>
      <c r="N81" s="338"/>
      <c r="O81" s="338"/>
      <c r="P81" s="338"/>
    </row>
    <row r="82" spans="1:16" ht="11.25" customHeight="1" x14ac:dyDescent="0.25">
      <c r="A82" s="302" t="s">
        <v>1215</v>
      </c>
      <c r="B82" s="280"/>
      <c r="C82" s="1030">
        <v>3920739.63</v>
      </c>
      <c r="D82" s="1030">
        <v>5554012.0899999999</v>
      </c>
      <c r="E82" s="1065">
        <v>7113343.4800000004</v>
      </c>
      <c r="F82" s="1066">
        <v>8000000</v>
      </c>
      <c r="G82" s="1030">
        <v>9658400</v>
      </c>
      <c r="H82" s="1065">
        <v>9658400</v>
      </c>
      <c r="I82" s="1067">
        <v>9658400</v>
      </c>
      <c r="J82" s="1031">
        <v>8834005</v>
      </c>
      <c r="K82" s="1030">
        <v>9364045.3000000007</v>
      </c>
      <c r="L82" s="1065">
        <v>9925888.0180000011</v>
      </c>
      <c r="M82" s="338"/>
      <c r="N82" s="338"/>
      <c r="O82" s="338"/>
      <c r="P82" s="338"/>
    </row>
    <row r="83" spans="1:16" ht="11.25" customHeight="1" x14ac:dyDescent="0.25">
      <c r="A83" s="302" t="s">
        <v>1216</v>
      </c>
      <c r="B83" s="280"/>
      <c r="C83" s="1030">
        <v>423948.81</v>
      </c>
      <c r="D83" s="1030">
        <v>430178.18000000005</v>
      </c>
      <c r="E83" s="1065">
        <v>425970.7</v>
      </c>
      <c r="F83" s="1066">
        <v>450000</v>
      </c>
      <c r="G83" s="1030">
        <v>480000</v>
      </c>
      <c r="H83" s="1065">
        <v>480000</v>
      </c>
      <c r="I83" s="1067">
        <v>480000</v>
      </c>
      <c r="J83" s="1031">
        <v>483465</v>
      </c>
      <c r="K83" s="1030">
        <v>512472.9</v>
      </c>
      <c r="L83" s="1065">
        <v>543221.27400000009</v>
      </c>
      <c r="M83" s="338"/>
      <c r="N83" s="338"/>
      <c r="O83" s="338"/>
      <c r="P83" s="338"/>
    </row>
    <row r="84" spans="1:16" ht="10.5" customHeight="1" x14ac:dyDescent="0.25">
      <c r="A84" s="305" t="s">
        <v>1217</v>
      </c>
      <c r="B84" s="280">
        <v>1</v>
      </c>
      <c r="C84" s="259">
        <v>4344688.4399999995</v>
      </c>
      <c r="D84" s="259">
        <v>5984190.2699999996</v>
      </c>
      <c r="E84" s="260">
        <v>7539314.1800000006</v>
      </c>
      <c r="F84" s="261">
        <v>8450000</v>
      </c>
      <c r="G84" s="259">
        <v>10138400</v>
      </c>
      <c r="H84" s="260">
        <v>10138400</v>
      </c>
      <c r="I84" s="258">
        <v>10138400</v>
      </c>
      <c r="J84" s="262">
        <v>9317470</v>
      </c>
      <c r="K84" s="259">
        <v>9876518.2000000011</v>
      </c>
      <c r="L84" s="260">
        <v>10469109.292000001</v>
      </c>
      <c r="M84" s="338"/>
      <c r="N84" s="338"/>
      <c r="O84" s="338"/>
      <c r="P84" s="338"/>
    </row>
    <row r="85" spans="1:16" ht="4.5" customHeight="1" x14ac:dyDescent="0.25">
      <c r="A85" s="305"/>
      <c r="B85" s="280"/>
      <c r="C85" s="357"/>
      <c r="D85" s="357"/>
      <c r="E85" s="313"/>
      <c r="F85" s="358"/>
      <c r="G85" s="357"/>
      <c r="H85" s="313"/>
      <c r="I85" s="359"/>
      <c r="J85" s="1190"/>
      <c r="K85" s="357"/>
      <c r="L85" s="313"/>
      <c r="M85" s="338"/>
      <c r="N85" s="338"/>
      <c r="O85" s="338"/>
      <c r="P85" s="338"/>
    </row>
    <row r="86" spans="1:16" ht="12.75" customHeight="1" x14ac:dyDescent="0.25">
      <c r="A86" s="364" t="s">
        <v>789</v>
      </c>
      <c r="B86" s="280"/>
      <c r="C86" s="357"/>
      <c r="D86" s="357"/>
      <c r="E86" s="313"/>
      <c r="F86" s="358"/>
      <c r="G86" s="357"/>
      <c r="H86" s="313"/>
      <c r="I86" s="359"/>
      <c r="J86" s="1190"/>
      <c r="K86" s="357"/>
      <c r="L86" s="313"/>
      <c r="M86" s="338"/>
      <c r="N86" s="338"/>
      <c r="O86" s="338"/>
      <c r="P86" s="338"/>
    </row>
    <row r="87" spans="1:16" ht="12.75" customHeight="1" x14ac:dyDescent="0.25">
      <c r="A87" s="302" t="s">
        <v>2211</v>
      </c>
      <c r="B87" s="280"/>
      <c r="C87" s="852">
        <v>3404607.72</v>
      </c>
      <c r="D87" s="852">
        <v>2658653.4800000004</v>
      </c>
      <c r="E87" s="853">
        <v>3547815.1500000004</v>
      </c>
      <c r="F87" s="854">
        <v>3483076</v>
      </c>
      <c r="G87" s="852">
        <v>3558106.1428571427</v>
      </c>
      <c r="H87" s="853">
        <v>3558106.1428571427</v>
      </c>
      <c r="I87" s="855">
        <v>3558106.1428571427</v>
      </c>
      <c r="J87" s="856">
        <v>4985825.6831999999</v>
      </c>
      <c r="K87" s="852">
        <v>5284975.224192</v>
      </c>
      <c r="L87" s="853">
        <v>5602073.7376435203</v>
      </c>
      <c r="M87" s="338"/>
      <c r="N87" s="338"/>
      <c r="O87" s="338"/>
      <c r="P87" s="338"/>
    </row>
    <row r="88" spans="1:16" ht="12.75" customHeight="1" x14ac:dyDescent="0.25">
      <c r="A88" s="302" t="s">
        <v>2212</v>
      </c>
      <c r="B88" s="280"/>
      <c r="C88" s="852">
        <v>0</v>
      </c>
      <c r="D88" s="852">
        <v>0</v>
      </c>
      <c r="E88" s="853">
        <v>0</v>
      </c>
      <c r="F88" s="854">
        <v>0</v>
      </c>
      <c r="G88" s="852">
        <v>0</v>
      </c>
      <c r="H88" s="853">
        <v>0</v>
      </c>
      <c r="I88" s="855">
        <v>0</v>
      </c>
      <c r="J88" s="856">
        <v>0</v>
      </c>
      <c r="K88" s="852">
        <v>0</v>
      </c>
      <c r="L88" s="853">
        <v>0</v>
      </c>
      <c r="M88" s="338"/>
      <c r="N88" s="338"/>
      <c r="O88" s="338"/>
      <c r="P88" s="338"/>
    </row>
    <row r="89" spans="1:16" ht="12.75" customHeight="1" x14ac:dyDescent="0.25">
      <c r="A89" s="305" t="s">
        <v>2213</v>
      </c>
      <c r="B89" s="280">
        <v>1</v>
      </c>
      <c r="C89" s="259">
        <v>3404607.72</v>
      </c>
      <c r="D89" s="259">
        <v>2658653.4800000004</v>
      </c>
      <c r="E89" s="260">
        <v>3547815.1500000004</v>
      </c>
      <c r="F89" s="261">
        <v>3483076</v>
      </c>
      <c r="G89" s="259">
        <v>3558106.1428571427</v>
      </c>
      <c r="H89" s="260">
        <v>3558106.1428571427</v>
      </c>
      <c r="I89" s="258">
        <v>3558106.1428571427</v>
      </c>
      <c r="J89" s="262">
        <v>4985825.6831999999</v>
      </c>
      <c r="K89" s="259">
        <v>5284975.224192</v>
      </c>
      <c r="L89" s="260">
        <v>5602073.7376435203</v>
      </c>
      <c r="M89" s="338"/>
      <c r="N89" s="338"/>
      <c r="O89" s="338"/>
      <c r="P89" s="338"/>
    </row>
    <row r="90" spans="1:16" ht="4.5" customHeight="1" x14ac:dyDescent="0.25">
      <c r="A90" s="305"/>
      <c r="B90" s="280"/>
      <c r="C90" s="357"/>
      <c r="D90" s="357"/>
      <c r="E90" s="313"/>
      <c r="F90" s="358"/>
      <c r="G90" s="357"/>
      <c r="H90" s="313"/>
      <c r="I90" s="359"/>
      <c r="J90" s="1190"/>
      <c r="K90" s="357"/>
      <c r="L90" s="313"/>
      <c r="M90" s="338"/>
      <c r="N90" s="338"/>
      <c r="O90" s="338"/>
      <c r="P90" s="338"/>
    </row>
    <row r="91" spans="1:16" ht="11.25" customHeight="1" x14ac:dyDescent="0.25">
      <c r="A91" s="364" t="s">
        <v>481</v>
      </c>
      <c r="B91" s="280"/>
      <c r="C91" s="205"/>
      <c r="D91" s="205"/>
      <c r="E91" s="256"/>
      <c r="F91" s="246"/>
      <c r="G91" s="205"/>
      <c r="H91" s="256"/>
      <c r="I91" s="208"/>
      <c r="J91" s="209"/>
      <c r="K91" s="205"/>
      <c r="L91" s="256"/>
      <c r="M91" s="338"/>
      <c r="N91" s="338"/>
      <c r="O91" s="338"/>
      <c r="P91" s="338"/>
    </row>
    <row r="92" spans="1:16" ht="11.25" customHeight="1" x14ac:dyDescent="0.25">
      <c r="A92" s="2199" t="s">
        <v>2389</v>
      </c>
      <c r="B92" s="280"/>
      <c r="C92" s="1030">
        <v>119668.18</v>
      </c>
      <c r="D92" s="1030">
        <v>9872504.5196999982</v>
      </c>
      <c r="E92" s="1065">
        <v>11539748.369999999</v>
      </c>
      <c r="F92" s="1066">
        <v>0</v>
      </c>
      <c r="G92" s="1030">
        <v>8485000</v>
      </c>
      <c r="H92" s="1065">
        <v>8485000</v>
      </c>
      <c r="I92" s="1067">
        <v>8485000</v>
      </c>
      <c r="J92" s="1031">
        <v>10710000</v>
      </c>
      <c r="K92" s="1030">
        <v>11352600</v>
      </c>
      <c r="L92" s="1065">
        <v>12033756</v>
      </c>
      <c r="M92" s="338"/>
      <c r="N92" s="338"/>
      <c r="O92" s="338"/>
      <c r="P92" s="338"/>
    </row>
    <row r="93" spans="1:16" ht="11.25" customHeight="1" x14ac:dyDescent="0.25">
      <c r="A93" s="2199"/>
      <c r="B93" s="280"/>
      <c r="C93" s="1030"/>
      <c r="D93" s="1030"/>
      <c r="E93" s="1065"/>
      <c r="F93" s="1066"/>
      <c r="G93" s="1030"/>
      <c r="H93" s="1065"/>
      <c r="I93" s="1067"/>
      <c r="J93" s="1031"/>
      <c r="K93" s="1030"/>
      <c r="L93" s="1065"/>
      <c r="M93" s="338"/>
      <c r="N93" s="338"/>
      <c r="O93" s="338"/>
      <c r="P93" s="338"/>
    </row>
    <row r="94" spans="1:16" ht="11.25" customHeight="1" x14ac:dyDescent="0.25">
      <c r="A94" s="2199"/>
      <c r="B94" s="280"/>
      <c r="C94" s="1030"/>
      <c r="D94" s="1030"/>
      <c r="E94" s="1065"/>
      <c r="F94" s="1066"/>
      <c r="G94" s="1030"/>
      <c r="H94" s="1065"/>
      <c r="I94" s="1067"/>
      <c r="J94" s="1031"/>
      <c r="K94" s="1030"/>
      <c r="L94" s="1065"/>
      <c r="M94" s="338"/>
      <c r="N94" s="338"/>
      <c r="O94" s="338"/>
      <c r="P94" s="338"/>
    </row>
    <row r="95" spans="1:16" ht="11.25" customHeight="1" x14ac:dyDescent="0.25">
      <c r="A95" s="2199"/>
      <c r="B95" s="280"/>
      <c r="C95" s="1030"/>
      <c r="D95" s="1030"/>
      <c r="E95" s="1065"/>
      <c r="F95" s="1066"/>
      <c r="G95" s="1030"/>
      <c r="H95" s="1065"/>
      <c r="I95" s="1067"/>
      <c r="J95" s="1031"/>
      <c r="K95" s="1030"/>
      <c r="L95" s="1065"/>
      <c r="M95" s="338"/>
      <c r="N95" s="338"/>
      <c r="O95" s="338"/>
      <c r="P95" s="338"/>
    </row>
    <row r="96" spans="1:16" ht="11.25" customHeight="1" x14ac:dyDescent="0.25">
      <c r="A96" s="2199"/>
      <c r="B96" s="280"/>
      <c r="C96" s="1030"/>
      <c r="D96" s="1030"/>
      <c r="E96" s="1065"/>
      <c r="F96" s="1066"/>
      <c r="G96" s="1030"/>
      <c r="H96" s="1065"/>
      <c r="I96" s="1067"/>
      <c r="J96" s="1031"/>
      <c r="K96" s="1030"/>
      <c r="L96" s="1065"/>
      <c r="M96" s="338"/>
      <c r="N96" s="338"/>
      <c r="O96" s="338"/>
      <c r="P96" s="338"/>
    </row>
    <row r="97" spans="1:16" ht="11.25" customHeight="1" x14ac:dyDescent="0.25">
      <c r="A97" s="2199"/>
      <c r="B97" s="280"/>
      <c r="C97" s="1030"/>
      <c r="D97" s="1030"/>
      <c r="E97" s="1065"/>
      <c r="F97" s="1066"/>
      <c r="G97" s="1030"/>
      <c r="H97" s="1065"/>
      <c r="I97" s="1067"/>
      <c r="J97" s="1031"/>
      <c r="K97" s="1030"/>
      <c r="L97" s="1065"/>
      <c r="M97" s="338"/>
      <c r="N97" s="338"/>
      <c r="O97" s="338"/>
      <c r="P97" s="338"/>
    </row>
    <row r="98" spans="1:16" ht="11.25" customHeight="1" x14ac:dyDescent="0.25">
      <c r="A98" s="2199"/>
      <c r="B98" s="280"/>
      <c r="C98" s="1030"/>
      <c r="D98" s="1030"/>
      <c r="E98" s="1065"/>
      <c r="F98" s="1066"/>
      <c r="G98" s="1030"/>
      <c r="H98" s="1065"/>
      <c r="I98" s="1067"/>
      <c r="J98" s="1031"/>
      <c r="K98" s="1030"/>
      <c r="L98" s="1065"/>
      <c r="M98" s="338"/>
      <c r="N98" s="338"/>
      <c r="O98" s="338"/>
      <c r="P98" s="338"/>
    </row>
    <row r="99" spans="1:16" ht="11.25" customHeight="1" x14ac:dyDescent="0.25">
      <c r="A99" s="2199"/>
      <c r="B99" s="280"/>
      <c r="C99" s="1030"/>
      <c r="D99" s="1030"/>
      <c r="E99" s="1065"/>
      <c r="F99" s="1066"/>
      <c r="G99" s="1030"/>
      <c r="H99" s="1065"/>
      <c r="I99" s="1067"/>
      <c r="J99" s="1031"/>
      <c r="K99" s="1030"/>
      <c r="L99" s="1065"/>
      <c r="M99" s="338"/>
      <c r="N99" s="338"/>
      <c r="O99" s="338"/>
      <c r="P99" s="338"/>
    </row>
    <row r="100" spans="1:16" ht="11.25" customHeight="1" x14ac:dyDescent="0.25">
      <c r="A100" s="2199"/>
      <c r="B100" s="280"/>
      <c r="C100" s="1030"/>
      <c r="D100" s="1030"/>
      <c r="E100" s="1065"/>
      <c r="F100" s="1066"/>
      <c r="G100" s="1030"/>
      <c r="H100" s="1065"/>
      <c r="I100" s="1067"/>
      <c r="J100" s="1031"/>
      <c r="K100" s="1030"/>
      <c r="L100" s="1065"/>
      <c r="M100" s="338"/>
      <c r="N100" s="338"/>
      <c r="O100" s="338"/>
      <c r="P100" s="338"/>
    </row>
    <row r="101" spans="1:16" ht="11.25" customHeight="1" x14ac:dyDescent="0.25">
      <c r="A101" s="2199"/>
      <c r="B101" s="280"/>
      <c r="C101" s="1030"/>
      <c r="D101" s="1030"/>
      <c r="E101" s="1065"/>
      <c r="F101" s="1066"/>
      <c r="G101" s="1030"/>
      <c r="H101" s="1065"/>
      <c r="I101" s="1067"/>
      <c r="J101" s="1031"/>
      <c r="K101" s="1030"/>
      <c r="L101" s="1065"/>
      <c r="M101" s="338"/>
      <c r="N101" s="338"/>
      <c r="O101" s="338"/>
      <c r="P101" s="338"/>
    </row>
    <row r="102" spans="1:16" ht="11.25" customHeight="1" x14ac:dyDescent="0.25">
      <c r="A102" s="2199"/>
      <c r="B102" s="280"/>
      <c r="C102" s="1030"/>
      <c r="D102" s="1030"/>
      <c r="E102" s="1065"/>
      <c r="F102" s="1066"/>
      <c r="G102" s="1030"/>
      <c r="H102" s="1065"/>
      <c r="I102" s="1067"/>
      <c r="J102" s="1031"/>
      <c r="K102" s="1030"/>
      <c r="L102" s="1065"/>
      <c r="M102" s="338"/>
      <c r="N102" s="338"/>
      <c r="O102" s="338"/>
      <c r="P102" s="338"/>
    </row>
    <row r="103" spans="1:16" ht="11.25" customHeight="1" x14ac:dyDescent="0.25">
      <c r="A103" s="2199"/>
      <c r="B103" s="280"/>
      <c r="C103" s="1030"/>
      <c r="D103" s="1030"/>
      <c r="E103" s="1065"/>
      <c r="F103" s="1066"/>
      <c r="G103" s="1030"/>
      <c r="H103" s="1065"/>
      <c r="I103" s="1067"/>
      <c r="J103" s="1031"/>
      <c r="K103" s="1030"/>
      <c r="L103" s="1065"/>
      <c r="M103" s="338"/>
      <c r="N103" s="338"/>
      <c r="O103" s="338"/>
      <c r="P103" s="338"/>
    </row>
    <row r="104" spans="1:16" ht="11.25" customHeight="1" x14ac:dyDescent="0.25">
      <c r="A104" s="2199"/>
      <c r="B104" s="280"/>
      <c r="C104" s="1030"/>
      <c r="D104" s="1030"/>
      <c r="E104" s="1065"/>
      <c r="F104" s="1066"/>
      <c r="G104" s="1030"/>
      <c r="H104" s="1065"/>
      <c r="I104" s="1067"/>
      <c r="J104" s="1031"/>
      <c r="K104" s="1030"/>
      <c r="L104" s="1065"/>
      <c r="M104" s="338"/>
      <c r="N104" s="338"/>
      <c r="O104" s="338"/>
      <c r="P104" s="338"/>
    </row>
    <row r="105" spans="1:16" ht="11.25" customHeight="1" x14ac:dyDescent="0.25">
      <c r="A105" s="2199"/>
      <c r="B105" s="280"/>
      <c r="C105" s="1030"/>
      <c r="D105" s="1030"/>
      <c r="E105" s="1065"/>
      <c r="F105" s="1066"/>
      <c r="G105" s="1030"/>
      <c r="H105" s="1065"/>
      <c r="I105" s="1067"/>
      <c r="J105" s="1031"/>
      <c r="K105" s="1030"/>
      <c r="L105" s="1065"/>
      <c r="M105" s="338"/>
      <c r="N105" s="338"/>
      <c r="O105" s="338"/>
      <c r="P105" s="338"/>
    </row>
    <row r="106" spans="1:16" ht="11.25" customHeight="1" x14ac:dyDescent="0.25">
      <c r="A106" s="2199"/>
      <c r="B106" s="280"/>
      <c r="C106" s="1030"/>
      <c r="D106" s="1030"/>
      <c r="E106" s="1065"/>
      <c r="F106" s="1066"/>
      <c r="G106" s="1030"/>
      <c r="H106" s="1065"/>
      <c r="I106" s="1067"/>
      <c r="J106" s="1031"/>
      <c r="K106" s="1030"/>
      <c r="L106" s="1065"/>
      <c r="M106" s="338"/>
      <c r="N106" s="338"/>
      <c r="O106" s="338"/>
      <c r="P106" s="338"/>
    </row>
    <row r="107" spans="1:16" ht="11.25" customHeight="1" x14ac:dyDescent="0.25">
      <c r="A107" s="2199"/>
      <c r="B107" s="280"/>
      <c r="C107" s="1030"/>
      <c r="D107" s="1030"/>
      <c r="E107" s="1065"/>
      <c r="F107" s="1066"/>
      <c r="G107" s="1030"/>
      <c r="H107" s="1065"/>
      <c r="I107" s="1067"/>
      <c r="J107" s="1031"/>
      <c r="K107" s="1030"/>
      <c r="L107" s="1065"/>
      <c r="M107" s="338"/>
      <c r="N107" s="338"/>
      <c r="O107" s="338"/>
      <c r="P107" s="338"/>
    </row>
    <row r="108" spans="1:16" ht="11.25" customHeight="1" x14ac:dyDescent="0.25">
      <c r="A108" s="2199"/>
      <c r="B108" s="280"/>
      <c r="C108" s="1030"/>
      <c r="D108" s="1030"/>
      <c r="E108" s="1065"/>
      <c r="F108" s="1066"/>
      <c r="G108" s="1030"/>
      <c r="H108" s="1065"/>
      <c r="I108" s="1067"/>
      <c r="J108" s="1031"/>
      <c r="K108" s="1030"/>
      <c r="L108" s="1065"/>
      <c r="M108" s="338"/>
      <c r="N108" s="338"/>
      <c r="O108" s="338"/>
      <c r="P108" s="338"/>
    </row>
    <row r="109" spans="1:16" ht="11.25" customHeight="1" x14ac:dyDescent="0.25">
      <c r="A109" s="2199"/>
      <c r="B109" s="280"/>
      <c r="C109" s="1030"/>
      <c r="D109" s="1030"/>
      <c r="E109" s="1065"/>
      <c r="F109" s="1066"/>
      <c r="G109" s="1030"/>
      <c r="H109" s="1065"/>
      <c r="I109" s="1067"/>
      <c r="J109" s="1031"/>
      <c r="K109" s="1030"/>
      <c r="L109" s="1065"/>
      <c r="M109" s="338"/>
      <c r="N109" s="338"/>
      <c r="O109" s="338"/>
      <c r="P109" s="338"/>
    </row>
    <row r="110" spans="1:16" ht="11.25" customHeight="1" x14ac:dyDescent="0.25">
      <c r="A110" s="2199"/>
      <c r="B110" s="280"/>
      <c r="C110" s="1030"/>
      <c r="D110" s="1030"/>
      <c r="E110" s="1065"/>
      <c r="F110" s="1066"/>
      <c r="G110" s="1030"/>
      <c r="H110" s="1065"/>
      <c r="I110" s="1067"/>
      <c r="J110" s="1031"/>
      <c r="K110" s="1030"/>
      <c r="L110" s="1065"/>
      <c r="M110" s="338"/>
      <c r="N110" s="338"/>
      <c r="O110" s="338"/>
      <c r="P110" s="338"/>
    </row>
    <row r="111" spans="1:16" ht="11.25" customHeight="1" x14ac:dyDescent="0.25">
      <c r="A111" s="2199"/>
      <c r="B111" s="280"/>
      <c r="C111" s="1030"/>
      <c r="D111" s="1030"/>
      <c r="E111" s="1065"/>
      <c r="F111" s="1066"/>
      <c r="G111" s="1030"/>
      <c r="H111" s="1065"/>
      <c r="I111" s="1067"/>
      <c r="J111" s="1031"/>
      <c r="K111" s="1030"/>
      <c r="L111" s="1065"/>
      <c r="M111" s="338"/>
      <c r="N111" s="338"/>
      <c r="O111" s="338"/>
      <c r="P111" s="338"/>
    </row>
    <row r="112" spans="1:16" ht="11.25" customHeight="1" x14ac:dyDescent="0.25">
      <c r="A112" s="2199"/>
      <c r="B112" s="280"/>
      <c r="C112" s="1030"/>
      <c r="D112" s="1030"/>
      <c r="E112" s="1065"/>
      <c r="F112" s="1066"/>
      <c r="G112" s="1030"/>
      <c r="H112" s="1065"/>
      <c r="I112" s="1067"/>
      <c r="J112" s="1031"/>
      <c r="K112" s="1030"/>
      <c r="L112" s="1065"/>
      <c r="M112" s="338"/>
      <c r="N112" s="338"/>
      <c r="O112" s="338"/>
      <c r="P112" s="338"/>
    </row>
    <row r="113" spans="1:16" ht="11.25" customHeight="1" x14ac:dyDescent="0.25">
      <c r="A113" s="2199"/>
      <c r="B113" s="280"/>
      <c r="C113" s="1030"/>
      <c r="D113" s="1030"/>
      <c r="E113" s="1065"/>
      <c r="F113" s="1066"/>
      <c r="G113" s="1030"/>
      <c r="H113" s="1065"/>
      <c r="I113" s="1067"/>
      <c r="J113" s="1031"/>
      <c r="K113" s="1030"/>
      <c r="L113" s="1065"/>
      <c r="M113" s="338"/>
      <c r="N113" s="338"/>
      <c r="O113" s="338"/>
      <c r="P113" s="338"/>
    </row>
    <row r="114" spans="1:16" ht="11.25" customHeight="1" x14ac:dyDescent="0.25">
      <c r="A114" s="2199"/>
      <c r="B114" s="280"/>
      <c r="C114" s="1030"/>
      <c r="D114" s="1030"/>
      <c r="E114" s="1065"/>
      <c r="F114" s="1066"/>
      <c r="G114" s="1030"/>
      <c r="H114" s="1065"/>
      <c r="I114" s="1067"/>
      <c r="J114" s="1031"/>
      <c r="K114" s="1030"/>
      <c r="L114" s="1065"/>
      <c r="M114" s="338"/>
      <c r="N114" s="338"/>
      <c r="O114" s="338"/>
      <c r="P114" s="338"/>
    </row>
    <row r="115" spans="1:16" ht="11.25" customHeight="1" x14ac:dyDescent="0.25">
      <c r="A115" s="2199"/>
      <c r="B115" s="280"/>
      <c r="C115" s="1030"/>
      <c r="D115" s="1030"/>
      <c r="E115" s="1065"/>
      <c r="F115" s="1066"/>
      <c r="G115" s="1030"/>
      <c r="H115" s="1065"/>
      <c r="I115" s="1067"/>
      <c r="J115" s="1031"/>
      <c r="K115" s="1030"/>
      <c r="L115" s="1065"/>
      <c r="M115" s="338"/>
      <c r="N115" s="338"/>
      <c r="O115" s="338"/>
      <c r="P115" s="338"/>
    </row>
    <row r="116" spans="1:16" ht="11.25" customHeight="1" x14ac:dyDescent="0.25">
      <c r="A116" s="2199"/>
      <c r="B116" s="280"/>
      <c r="C116" s="1030"/>
      <c r="D116" s="1030"/>
      <c r="E116" s="1065"/>
      <c r="F116" s="1066"/>
      <c r="G116" s="1030"/>
      <c r="H116" s="1065"/>
      <c r="I116" s="1067"/>
      <c r="J116" s="1031"/>
      <c r="K116" s="1030"/>
      <c r="L116" s="1065"/>
      <c r="M116" s="338"/>
      <c r="N116" s="338"/>
      <c r="O116" s="338"/>
      <c r="P116" s="338"/>
    </row>
    <row r="117" spans="1:16" ht="11.25" customHeight="1" x14ac:dyDescent="0.25">
      <c r="A117" s="2203" t="s">
        <v>139</v>
      </c>
      <c r="B117" s="280">
        <v>1</v>
      </c>
      <c r="C117" s="259">
        <v>119668.18</v>
      </c>
      <c r="D117" s="259">
        <v>9872504.5196999982</v>
      </c>
      <c r="E117" s="260">
        <v>11539748.369999999</v>
      </c>
      <c r="F117" s="261">
        <v>0</v>
      </c>
      <c r="G117" s="259">
        <v>8485000</v>
      </c>
      <c r="H117" s="260">
        <v>8485000</v>
      </c>
      <c r="I117" s="258">
        <v>8485000</v>
      </c>
      <c r="J117" s="262">
        <v>10710000</v>
      </c>
      <c r="K117" s="259">
        <v>11352600</v>
      </c>
      <c r="L117" s="260">
        <v>12033756</v>
      </c>
      <c r="M117" s="338"/>
      <c r="N117" s="338"/>
      <c r="O117" s="338"/>
      <c r="P117" s="338"/>
    </row>
    <row r="118" spans="1:16" ht="11.25" customHeight="1" x14ac:dyDescent="0.25">
      <c r="A118" s="1260" t="s">
        <v>1475</v>
      </c>
      <c r="B118" s="280"/>
      <c r="C118" s="357"/>
      <c r="D118" s="357"/>
      <c r="E118" s="313"/>
      <c r="F118" s="358"/>
      <c r="G118" s="357"/>
      <c r="H118" s="313"/>
      <c r="I118" s="359"/>
      <c r="J118" s="1190"/>
      <c r="K118" s="357"/>
      <c r="L118" s="313"/>
      <c r="M118" s="338"/>
      <c r="N118" s="338"/>
      <c r="O118" s="338"/>
      <c r="P118" s="338"/>
    </row>
    <row r="119" spans="1:16" ht="11.25" customHeight="1" x14ac:dyDescent="0.25">
      <c r="A119" s="1020" t="s">
        <v>654</v>
      </c>
      <c r="B119" s="280"/>
      <c r="C119" s="2119">
        <v>0</v>
      </c>
      <c r="D119" s="2119">
        <v>0</v>
      </c>
      <c r="E119" s="2120">
        <v>0</v>
      </c>
      <c r="F119" s="2121">
        <v>0</v>
      </c>
      <c r="G119" s="2119">
        <v>0</v>
      </c>
      <c r="H119" s="2120">
        <v>0</v>
      </c>
      <c r="I119" s="1849">
        <v>0</v>
      </c>
      <c r="J119" s="2155">
        <v>0</v>
      </c>
      <c r="K119" s="2119">
        <v>0</v>
      </c>
      <c r="L119" s="2120">
        <v>0</v>
      </c>
      <c r="M119" s="338"/>
      <c r="N119" s="338"/>
      <c r="O119" s="338"/>
      <c r="P119" s="338"/>
    </row>
    <row r="120" spans="1:16" ht="11.25" customHeight="1" x14ac:dyDescent="0.25">
      <c r="A120" s="1020" t="s">
        <v>958</v>
      </c>
      <c r="B120" s="280"/>
      <c r="C120" s="2119">
        <v>0</v>
      </c>
      <c r="D120" s="2119">
        <v>0</v>
      </c>
      <c r="E120" s="2120">
        <v>0</v>
      </c>
      <c r="F120" s="2121">
        <v>0</v>
      </c>
      <c r="G120" s="2119">
        <v>0</v>
      </c>
      <c r="H120" s="2120">
        <v>0</v>
      </c>
      <c r="I120" s="1849">
        <v>0</v>
      </c>
      <c r="J120" s="2155">
        <v>0</v>
      </c>
      <c r="K120" s="2119">
        <v>0</v>
      </c>
      <c r="L120" s="2120">
        <v>0</v>
      </c>
      <c r="M120" s="338"/>
      <c r="N120" s="338"/>
      <c r="O120" s="338"/>
      <c r="P120" s="338"/>
    </row>
    <row r="121" spans="1:16" ht="11.25" customHeight="1" x14ac:dyDescent="0.25">
      <c r="A121" s="1020" t="s">
        <v>959</v>
      </c>
      <c r="B121" s="280"/>
      <c r="C121" s="2119">
        <v>0</v>
      </c>
      <c r="D121" s="2119">
        <v>0</v>
      </c>
      <c r="E121" s="2120">
        <v>0</v>
      </c>
      <c r="F121" s="2121">
        <v>0</v>
      </c>
      <c r="G121" s="2119">
        <v>0</v>
      </c>
      <c r="H121" s="2120">
        <v>0</v>
      </c>
      <c r="I121" s="1849">
        <v>0</v>
      </c>
      <c r="J121" s="2155">
        <v>0</v>
      </c>
      <c r="K121" s="2119">
        <v>0</v>
      </c>
      <c r="L121" s="2120">
        <v>0</v>
      </c>
      <c r="M121" s="338"/>
      <c r="N121" s="338"/>
      <c r="O121" s="338"/>
      <c r="P121" s="338"/>
    </row>
    <row r="122" spans="1:16" ht="11.25" customHeight="1" x14ac:dyDescent="0.25">
      <c r="A122" s="1020" t="s">
        <v>293</v>
      </c>
      <c r="B122" s="280"/>
      <c r="C122" s="2119">
        <v>0</v>
      </c>
      <c r="D122" s="2119">
        <v>0</v>
      </c>
      <c r="E122" s="2120">
        <v>0</v>
      </c>
      <c r="F122" s="2121">
        <v>0</v>
      </c>
      <c r="G122" s="2119">
        <v>0</v>
      </c>
      <c r="H122" s="2120">
        <v>0</v>
      </c>
      <c r="I122" s="1849">
        <v>0</v>
      </c>
      <c r="J122" s="2155">
        <v>0</v>
      </c>
      <c r="K122" s="2119">
        <v>0</v>
      </c>
      <c r="L122" s="2120">
        <v>0</v>
      </c>
      <c r="M122" s="338"/>
      <c r="N122" s="338"/>
      <c r="O122" s="338"/>
      <c r="P122" s="338"/>
    </row>
    <row r="123" spans="1:16" ht="11.25" customHeight="1" x14ac:dyDescent="0.25">
      <c r="A123" s="2204" t="s">
        <v>1476</v>
      </c>
      <c r="B123" s="280"/>
      <c r="C123" s="259">
        <v>119668.18</v>
      </c>
      <c r="D123" s="259">
        <v>9872504.5196999982</v>
      </c>
      <c r="E123" s="260">
        <v>11539748.369999999</v>
      </c>
      <c r="F123" s="261">
        <v>0</v>
      </c>
      <c r="G123" s="259">
        <v>8485000</v>
      </c>
      <c r="H123" s="260">
        <v>8485000</v>
      </c>
      <c r="I123" s="258">
        <v>8485000</v>
      </c>
      <c r="J123" s="262">
        <v>10710000</v>
      </c>
      <c r="K123" s="259">
        <v>11352600</v>
      </c>
      <c r="L123" s="260">
        <v>12033756</v>
      </c>
      <c r="M123" s="338"/>
      <c r="N123" s="338"/>
      <c r="O123" s="338"/>
      <c r="P123" s="338"/>
    </row>
    <row r="124" spans="1:16" ht="5.0999999999999996" customHeight="1" x14ac:dyDescent="0.25">
      <c r="A124" s="367"/>
      <c r="B124" s="280"/>
      <c r="C124" s="205"/>
      <c r="D124" s="205"/>
      <c r="E124" s="256"/>
      <c r="F124" s="246"/>
      <c r="G124" s="205"/>
      <c r="H124" s="256"/>
      <c r="I124" s="208"/>
      <c r="J124" s="209"/>
      <c r="K124" s="205"/>
      <c r="L124" s="256"/>
      <c r="M124" s="338"/>
      <c r="N124" s="338"/>
      <c r="O124" s="338"/>
      <c r="P124" s="338"/>
    </row>
    <row r="125" spans="1:16" ht="11.25" customHeight="1" x14ac:dyDescent="0.25">
      <c r="A125" s="364" t="s">
        <v>40</v>
      </c>
      <c r="B125" s="2205"/>
      <c r="C125" s="205"/>
      <c r="D125" s="205"/>
      <c r="E125" s="256"/>
      <c r="F125" s="246"/>
      <c r="G125" s="205"/>
      <c r="H125" s="256"/>
      <c r="I125" s="208"/>
      <c r="J125" s="209"/>
      <c r="K125" s="205"/>
      <c r="L125" s="256"/>
      <c r="M125" s="338"/>
      <c r="N125" s="338"/>
      <c r="O125" s="338"/>
      <c r="P125" s="338"/>
    </row>
    <row r="126" spans="1:16" ht="11.25" customHeight="1" x14ac:dyDescent="0.25">
      <c r="A126" s="302" t="s">
        <v>479</v>
      </c>
      <c r="B126" s="280"/>
      <c r="C126" s="1030">
        <v>0</v>
      </c>
      <c r="D126" s="1030">
        <v>0</v>
      </c>
      <c r="E126" s="1065">
        <v>0</v>
      </c>
      <c r="F126" s="1030">
        <v>0</v>
      </c>
      <c r="G126" s="1030">
        <v>0</v>
      </c>
      <c r="H126" s="1065">
        <v>0</v>
      </c>
      <c r="I126" s="1067">
        <v>0</v>
      </c>
      <c r="J126" s="1031">
        <v>0</v>
      </c>
      <c r="K126" s="1030">
        <v>0</v>
      </c>
      <c r="L126" s="1065">
        <v>0</v>
      </c>
      <c r="M126" s="338"/>
      <c r="N126" s="338"/>
      <c r="O126" s="338"/>
      <c r="P126" s="338"/>
    </row>
    <row r="127" spans="1:16" ht="11.25" customHeight="1" x14ac:dyDescent="0.25">
      <c r="A127" s="302" t="s">
        <v>1515</v>
      </c>
      <c r="B127" s="280"/>
      <c r="C127" s="1030">
        <v>0</v>
      </c>
      <c r="D127" s="1030">
        <v>0</v>
      </c>
      <c r="E127" s="1065">
        <v>0</v>
      </c>
      <c r="F127" s="1030">
        <v>0</v>
      </c>
      <c r="G127" s="1030">
        <v>0</v>
      </c>
      <c r="H127" s="1065">
        <v>0</v>
      </c>
      <c r="I127" s="1067">
        <v>0</v>
      </c>
      <c r="J127" s="1031">
        <v>0</v>
      </c>
      <c r="K127" s="1030">
        <v>0</v>
      </c>
      <c r="L127" s="1065">
        <v>0</v>
      </c>
      <c r="M127" s="338"/>
      <c r="N127" s="338"/>
      <c r="O127" s="338"/>
      <c r="P127" s="338"/>
    </row>
    <row r="128" spans="1:16" ht="11.25" customHeight="1" x14ac:dyDescent="0.25">
      <c r="A128" s="302" t="s">
        <v>700</v>
      </c>
      <c r="B128" s="280"/>
      <c r="C128" s="1030">
        <v>0</v>
      </c>
      <c r="D128" s="1030">
        <v>0</v>
      </c>
      <c r="E128" s="1065">
        <v>0</v>
      </c>
      <c r="F128" s="1030">
        <v>0</v>
      </c>
      <c r="G128" s="1030">
        <v>0</v>
      </c>
      <c r="H128" s="1065">
        <v>0</v>
      </c>
      <c r="I128" s="1067">
        <v>0</v>
      </c>
      <c r="J128" s="1031">
        <v>0</v>
      </c>
      <c r="K128" s="1030">
        <v>0</v>
      </c>
      <c r="L128" s="1065">
        <v>0</v>
      </c>
      <c r="M128" s="338"/>
      <c r="N128" s="338"/>
      <c r="O128" s="338"/>
      <c r="P128" s="338"/>
    </row>
    <row r="129" spans="1:16" ht="11.25" customHeight="1" x14ac:dyDescent="0.25">
      <c r="A129" s="302" t="s">
        <v>701</v>
      </c>
      <c r="B129" s="280"/>
      <c r="C129" s="1030">
        <v>855241.63</v>
      </c>
      <c r="D129" s="1030">
        <v>1230012.33</v>
      </c>
      <c r="E129" s="1065">
        <v>960237.66999999993</v>
      </c>
      <c r="F129" s="1030">
        <v>1600000</v>
      </c>
      <c r="G129" s="1030">
        <v>1827440</v>
      </c>
      <c r="H129" s="1065">
        <v>1827440</v>
      </c>
      <c r="I129" s="1067">
        <v>1827440</v>
      </c>
      <c r="J129" s="1031">
        <v>1800000</v>
      </c>
      <c r="K129" s="1030">
        <v>1908000</v>
      </c>
      <c r="L129" s="1065">
        <v>2022480</v>
      </c>
      <c r="M129" s="338"/>
      <c r="N129" s="338"/>
      <c r="O129" s="338"/>
      <c r="P129" s="338"/>
    </row>
    <row r="130" spans="1:16" ht="11.25" customHeight="1" x14ac:dyDescent="0.25">
      <c r="A130" s="302" t="s">
        <v>482</v>
      </c>
      <c r="B130" s="280">
        <v>3</v>
      </c>
      <c r="C130" s="1030">
        <v>207187.86999999997</v>
      </c>
      <c r="D130" s="1030">
        <v>180631.26</v>
      </c>
      <c r="E130" s="1065">
        <v>149766.40999999997</v>
      </c>
      <c r="F130" s="1030">
        <v>1044500.549387999</v>
      </c>
      <c r="G130" s="1030">
        <v>863000</v>
      </c>
      <c r="H130" s="1065">
        <v>863000</v>
      </c>
      <c r="I130" s="1067">
        <v>863000</v>
      </c>
      <c r="J130" s="1031">
        <v>1496400</v>
      </c>
      <c r="K130" s="1030">
        <v>1586184</v>
      </c>
      <c r="L130" s="1065">
        <v>1681355.0399999998</v>
      </c>
      <c r="M130" s="338"/>
      <c r="N130" s="338"/>
      <c r="O130" s="338"/>
      <c r="P130" s="338"/>
    </row>
    <row r="131" spans="1:16" ht="11.25" customHeight="1" x14ac:dyDescent="0.25">
      <c r="A131" s="2199" t="s">
        <v>2359</v>
      </c>
      <c r="B131" s="280"/>
      <c r="C131" s="1030">
        <v>101185.42</v>
      </c>
      <c r="D131" s="1030">
        <v>82751.77</v>
      </c>
      <c r="E131" s="1065">
        <v>45751.95</v>
      </c>
      <c r="F131" s="1030">
        <v>90000</v>
      </c>
      <c r="G131" s="1030">
        <v>90000</v>
      </c>
      <c r="H131" s="1065">
        <v>90000</v>
      </c>
      <c r="I131" s="1067">
        <v>90000</v>
      </c>
      <c r="J131" s="1031">
        <v>105000</v>
      </c>
      <c r="K131" s="1030">
        <v>111300</v>
      </c>
      <c r="L131" s="1065">
        <v>117978</v>
      </c>
      <c r="M131" s="338"/>
      <c r="N131" s="338"/>
      <c r="O131" s="338"/>
      <c r="P131" s="338"/>
    </row>
    <row r="132" spans="1:16" ht="11.25" customHeight="1" x14ac:dyDescent="0.25">
      <c r="A132" s="2199" t="s">
        <v>2353</v>
      </c>
      <c r="B132" s="280"/>
      <c r="C132" s="1030">
        <v>169027.17</v>
      </c>
      <c r="D132" s="1030">
        <v>297487.15000000002</v>
      </c>
      <c r="E132" s="1065">
        <v>425240.29000000015</v>
      </c>
      <c r="F132" s="1030">
        <v>121000</v>
      </c>
      <c r="G132" s="1030">
        <v>121000</v>
      </c>
      <c r="H132" s="1065">
        <v>121000</v>
      </c>
      <c r="I132" s="1067">
        <v>121000</v>
      </c>
      <c r="J132" s="1031">
        <v>145664.56</v>
      </c>
      <c r="K132" s="1030">
        <v>154404.43360000002</v>
      </c>
      <c r="L132" s="1065">
        <v>163668.69961600003</v>
      </c>
      <c r="M132" s="338"/>
      <c r="N132" s="338"/>
      <c r="O132" s="338"/>
      <c r="P132" s="338"/>
    </row>
    <row r="133" spans="1:16" ht="11.25" customHeight="1" x14ac:dyDescent="0.25">
      <c r="A133" s="2199" t="s">
        <v>2363</v>
      </c>
      <c r="B133" s="280"/>
      <c r="C133" s="1030">
        <v>0</v>
      </c>
      <c r="D133" s="1030">
        <v>0</v>
      </c>
      <c r="E133" s="1065">
        <v>350305</v>
      </c>
      <c r="F133" s="1030">
        <v>200000</v>
      </c>
      <c r="G133" s="1030">
        <v>200000</v>
      </c>
      <c r="H133" s="1065">
        <v>200000</v>
      </c>
      <c r="I133" s="1067">
        <v>200000</v>
      </c>
      <c r="J133" s="1031">
        <v>2400000</v>
      </c>
      <c r="K133" s="1030">
        <v>424000</v>
      </c>
      <c r="L133" s="1065">
        <v>449440</v>
      </c>
      <c r="M133" s="338"/>
      <c r="N133" s="338"/>
      <c r="O133" s="338"/>
      <c r="P133" s="338"/>
    </row>
    <row r="134" spans="1:16" ht="11.25" customHeight="1" x14ac:dyDescent="0.25">
      <c r="A134" s="2199" t="s">
        <v>2366</v>
      </c>
      <c r="B134" s="280"/>
      <c r="C134" s="1030">
        <v>22767.06</v>
      </c>
      <c r="D134" s="1030">
        <v>75502.899999999994</v>
      </c>
      <c r="E134" s="1065">
        <v>168892.22999999998</v>
      </c>
      <c r="F134" s="1030">
        <v>210000</v>
      </c>
      <c r="G134" s="1030">
        <v>210000</v>
      </c>
      <c r="H134" s="1065">
        <v>210000</v>
      </c>
      <c r="I134" s="1067">
        <v>210000</v>
      </c>
      <c r="J134" s="1031">
        <v>220000</v>
      </c>
      <c r="K134" s="1030">
        <v>233200</v>
      </c>
      <c r="L134" s="1065">
        <v>247192</v>
      </c>
      <c r="M134" s="338"/>
      <c r="N134" s="338"/>
      <c r="O134" s="338"/>
      <c r="P134" s="338"/>
    </row>
    <row r="135" spans="1:16" ht="11.25" customHeight="1" x14ac:dyDescent="0.25">
      <c r="A135" s="2199" t="s">
        <v>2370</v>
      </c>
      <c r="B135" s="280"/>
      <c r="C135" s="1030">
        <v>1180405.6499999999</v>
      </c>
      <c r="D135" s="1030">
        <v>500679.52</v>
      </c>
      <c r="E135" s="1065">
        <v>1842131.58</v>
      </c>
      <c r="F135" s="1030">
        <v>0</v>
      </c>
      <c r="G135" s="1030">
        <v>2000000</v>
      </c>
      <c r="H135" s="1065">
        <v>2000000</v>
      </c>
      <c r="I135" s="1067">
        <v>2000000</v>
      </c>
      <c r="J135" s="1031">
        <v>1600000</v>
      </c>
      <c r="K135" s="1030">
        <v>1696000</v>
      </c>
      <c r="L135" s="1065">
        <v>1797760</v>
      </c>
      <c r="M135" s="338"/>
      <c r="N135" s="338"/>
      <c r="O135" s="338"/>
      <c r="P135" s="338"/>
    </row>
    <row r="136" spans="1:16" ht="11.25" customHeight="1" x14ac:dyDescent="0.25">
      <c r="A136" s="2199" t="s">
        <v>2358</v>
      </c>
      <c r="B136" s="280"/>
      <c r="C136" s="1030">
        <v>263132.93</v>
      </c>
      <c r="D136" s="1030">
        <v>120330.67000000001</v>
      </c>
      <c r="E136" s="1065">
        <v>229404.21</v>
      </c>
      <c r="F136" s="1030">
        <v>144500</v>
      </c>
      <c r="G136" s="1030">
        <v>164500</v>
      </c>
      <c r="H136" s="1065">
        <v>164500</v>
      </c>
      <c r="I136" s="1067">
        <v>164500</v>
      </c>
      <c r="J136" s="1031">
        <v>124500</v>
      </c>
      <c r="K136" s="1030">
        <v>131970</v>
      </c>
      <c r="L136" s="1065">
        <v>139888.20000000001</v>
      </c>
      <c r="M136" s="338"/>
      <c r="N136" s="338"/>
      <c r="O136" s="338"/>
      <c r="P136" s="338"/>
    </row>
    <row r="137" spans="1:16" ht="11.25" customHeight="1" x14ac:dyDescent="0.25">
      <c r="A137" s="2199" t="s">
        <v>2346</v>
      </c>
      <c r="B137" s="280"/>
      <c r="C137" s="1030">
        <v>863777.99000000011</v>
      </c>
      <c r="D137" s="1030">
        <v>784342.30000000016</v>
      </c>
      <c r="E137" s="1065">
        <v>997742.87999999989</v>
      </c>
      <c r="F137" s="1030">
        <v>1125000</v>
      </c>
      <c r="G137" s="1030">
        <v>1247310</v>
      </c>
      <c r="H137" s="1065">
        <v>1247310</v>
      </c>
      <c r="I137" s="1067">
        <v>1247310</v>
      </c>
      <c r="J137" s="1031">
        <v>986200</v>
      </c>
      <c r="K137" s="1030">
        <v>1045372</v>
      </c>
      <c r="L137" s="1065">
        <v>1108094.32</v>
      </c>
      <c r="M137" s="338"/>
      <c r="N137" s="338"/>
      <c r="O137" s="338"/>
      <c r="P137" s="338"/>
    </row>
    <row r="138" spans="1:16" ht="11.25" customHeight="1" x14ac:dyDescent="0.25">
      <c r="A138" s="2199" t="s">
        <v>2360</v>
      </c>
      <c r="B138" s="280"/>
      <c r="C138" s="1030">
        <v>30269.599999999999</v>
      </c>
      <c r="D138" s="1030">
        <v>19588.91</v>
      </c>
      <c r="E138" s="1065">
        <v>34024.9</v>
      </c>
      <c r="F138" s="1030">
        <v>90000</v>
      </c>
      <c r="G138" s="1030">
        <v>90000</v>
      </c>
      <c r="H138" s="1065">
        <v>90000</v>
      </c>
      <c r="I138" s="1067">
        <v>90000</v>
      </c>
      <c r="J138" s="1031">
        <v>90000</v>
      </c>
      <c r="K138" s="1030">
        <v>95400</v>
      </c>
      <c r="L138" s="1065">
        <v>101124</v>
      </c>
      <c r="M138" s="338"/>
      <c r="N138" s="338"/>
      <c r="O138" s="338"/>
      <c r="P138" s="338"/>
    </row>
    <row r="139" spans="1:16" ht="11.25" customHeight="1" x14ac:dyDescent="0.25">
      <c r="A139" s="2199" t="s">
        <v>2348</v>
      </c>
      <c r="B139" s="280"/>
      <c r="C139" s="1030">
        <v>28296.15</v>
      </c>
      <c r="D139" s="1030">
        <v>147684.94999999998</v>
      </c>
      <c r="E139" s="1065">
        <v>221793.79</v>
      </c>
      <c r="F139" s="1030">
        <v>262500</v>
      </c>
      <c r="G139" s="1030">
        <v>243500</v>
      </c>
      <c r="H139" s="1065">
        <v>243500</v>
      </c>
      <c r="I139" s="1067">
        <v>243500</v>
      </c>
      <c r="J139" s="1031">
        <v>254600</v>
      </c>
      <c r="K139" s="1030">
        <v>269876</v>
      </c>
      <c r="L139" s="1065">
        <v>286068.55999999994</v>
      </c>
      <c r="M139" s="338"/>
      <c r="N139" s="338"/>
      <c r="O139" s="338"/>
      <c r="P139" s="338"/>
    </row>
    <row r="140" spans="1:16" ht="11.25" customHeight="1" x14ac:dyDescent="0.25">
      <c r="A140" s="2199" t="s">
        <v>2340</v>
      </c>
      <c r="B140" s="280"/>
      <c r="C140" s="1030">
        <v>242394.28999999998</v>
      </c>
      <c r="D140" s="1030">
        <v>288840.65000000002</v>
      </c>
      <c r="E140" s="1065">
        <v>291805.28999999998</v>
      </c>
      <c r="F140" s="1030">
        <v>415000</v>
      </c>
      <c r="G140" s="1030">
        <v>415000</v>
      </c>
      <c r="H140" s="1065">
        <v>415000</v>
      </c>
      <c r="I140" s="1067">
        <v>415000</v>
      </c>
      <c r="J140" s="1031">
        <v>481360</v>
      </c>
      <c r="K140" s="1030">
        <v>510241.6</v>
      </c>
      <c r="L140" s="1065">
        <v>540856.09600000002</v>
      </c>
      <c r="M140" s="338"/>
      <c r="N140" s="338"/>
      <c r="O140" s="338"/>
      <c r="P140" s="338"/>
    </row>
    <row r="141" spans="1:16" ht="11.25" customHeight="1" x14ac:dyDescent="0.25">
      <c r="A141" s="2199" t="s">
        <v>2371</v>
      </c>
      <c r="B141" s="280"/>
      <c r="C141" s="1030">
        <v>0</v>
      </c>
      <c r="D141" s="1030">
        <v>10039.92</v>
      </c>
      <c r="E141" s="1065">
        <v>38066.879999999997</v>
      </c>
      <c r="F141" s="1030">
        <v>0</v>
      </c>
      <c r="G141" s="1030">
        <v>0</v>
      </c>
      <c r="H141" s="1065">
        <v>0</v>
      </c>
      <c r="I141" s="1067">
        <v>0</v>
      </c>
      <c r="J141" s="1031">
        <v>0</v>
      </c>
      <c r="K141" s="1030">
        <v>0</v>
      </c>
      <c r="L141" s="1065">
        <v>0</v>
      </c>
      <c r="M141" s="338"/>
      <c r="N141" s="338"/>
      <c r="O141" s="338"/>
      <c r="P141" s="338"/>
    </row>
    <row r="142" spans="1:16" ht="11.25" customHeight="1" x14ac:dyDescent="0.25">
      <c r="A142" s="2199" t="s">
        <v>2369</v>
      </c>
      <c r="B142" s="280"/>
      <c r="C142" s="1030">
        <v>658754.81000000006</v>
      </c>
      <c r="D142" s="1030">
        <v>352168.40677799634</v>
      </c>
      <c r="E142" s="1065">
        <v>0</v>
      </c>
      <c r="F142" s="1030">
        <v>0</v>
      </c>
      <c r="G142" s="1030">
        <v>0</v>
      </c>
      <c r="H142" s="1065">
        <v>0</v>
      </c>
      <c r="I142" s="1067">
        <v>0</v>
      </c>
      <c r="J142" s="1031">
        <v>0</v>
      </c>
      <c r="K142" s="1030">
        <v>0</v>
      </c>
      <c r="L142" s="1065">
        <v>0</v>
      </c>
      <c r="M142" s="338"/>
      <c r="N142" s="338"/>
      <c r="O142" s="338"/>
      <c r="P142" s="338"/>
    </row>
    <row r="143" spans="1:16" ht="11.25" customHeight="1" x14ac:dyDescent="0.25">
      <c r="A143" s="2199" t="s">
        <v>2362</v>
      </c>
      <c r="B143" s="280"/>
      <c r="C143" s="1030">
        <v>32030</v>
      </c>
      <c r="D143" s="1030">
        <v>43560.71</v>
      </c>
      <c r="E143" s="1065">
        <v>35600</v>
      </c>
      <c r="F143" s="1030">
        <v>60000</v>
      </c>
      <c r="G143" s="1030">
        <v>60000</v>
      </c>
      <c r="H143" s="1065">
        <v>60000</v>
      </c>
      <c r="I143" s="1067">
        <v>60000</v>
      </c>
      <c r="J143" s="1031">
        <v>60000</v>
      </c>
      <c r="K143" s="1030">
        <v>63600</v>
      </c>
      <c r="L143" s="1065">
        <v>67416</v>
      </c>
      <c r="M143" s="338"/>
      <c r="N143" s="338"/>
      <c r="O143" s="338"/>
      <c r="P143" s="338"/>
    </row>
    <row r="144" spans="1:16" ht="11.25" customHeight="1" x14ac:dyDescent="0.25">
      <c r="A144" s="2199" t="s">
        <v>2352</v>
      </c>
      <c r="B144" s="280"/>
      <c r="C144" s="1030">
        <v>130214.55</v>
      </c>
      <c r="D144" s="1030">
        <v>162436.43999999997</v>
      </c>
      <c r="E144" s="1065">
        <v>207437.13999999998</v>
      </c>
      <c r="F144" s="1030">
        <v>99100</v>
      </c>
      <c r="G144" s="1030">
        <v>211000</v>
      </c>
      <c r="H144" s="1065">
        <v>211000</v>
      </c>
      <c r="I144" s="1067">
        <v>211000</v>
      </c>
      <c r="J144" s="1031">
        <v>223200</v>
      </c>
      <c r="K144" s="1030">
        <v>236592</v>
      </c>
      <c r="L144" s="1065">
        <v>250787.52</v>
      </c>
      <c r="M144" s="338"/>
      <c r="N144" s="338"/>
      <c r="O144" s="338"/>
      <c r="P144" s="338"/>
    </row>
    <row r="145" spans="1:16" ht="11.25" customHeight="1" x14ac:dyDescent="0.25">
      <c r="A145" s="2199" t="s">
        <v>2343</v>
      </c>
      <c r="B145" s="280"/>
      <c r="C145" s="1030">
        <v>69143.98000000001</v>
      </c>
      <c r="D145" s="1030">
        <v>106252.73</v>
      </c>
      <c r="E145" s="1065">
        <v>155170.37000000002</v>
      </c>
      <c r="F145" s="1030">
        <v>297000</v>
      </c>
      <c r="G145" s="1030">
        <v>308200</v>
      </c>
      <c r="H145" s="1065">
        <v>308200</v>
      </c>
      <c r="I145" s="1067">
        <v>308200</v>
      </c>
      <c r="J145" s="1031">
        <v>276700</v>
      </c>
      <c r="K145" s="1030">
        <v>293302</v>
      </c>
      <c r="L145" s="1065">
        <v>310900.12</v>
      </c>
      <c r="M145" s="338"/>
      <c r="N145" s="338"/>
      <c r="O145" s="338"/>
      <c r="P145" s="338"/>
    </row>
    <row r="146" spans="1:16" ht="11.25" customHeight="1" x14ac:dyDescent="0.25">
      <c r="A146" s="2199" t="s">
        <v>2347</v>
      </c>
      <c r="B146" s="280"/>
      <c r="C146" s="1030">
        <v>30585.870000000003</v>
      </c>
      <c r="D146" s="1030">
        <v>162543.5</v>
      </c>
      <c r="E146" s="1065">
        <v>9434.9499999999989</v>
      </c>
      <c r="F146" s="1030">
        <v>130000</v>
      </c>
      <c r="G146" s="1030">
        <v>126435</v>
      </c>
      <c r="H146" s="1065">
        <v>126435</v>
      </c>
      <c r="I146" s="1067">
        <v>126435</v>
      </c>
      <c r="J146" s="1031">
        <v>182000</v>
      </c>
      <c r="K146" s="1030">
        <v>192920</v>
      </c>
      <c r="L146" s="1065">
        <v>204495.2</v>
      </c>
      <c r="M146" s="338"/>
      <c r="N146" s="338"/>
      <c r="O146" s="338"/>
      <c r="P146" s="338"/>
    </row>
    <row r="147" spans="1:16" ht="11.25" customHeight="1" x14ac:dyDescent="0.25">
      <c r="A147" s="2199" t="s">
        <v>2361</v>
      </c>
      <c r="B147" s="280"/>
      <c r="C147" s="1030">
        <v>97846.22</v>
      </c>
      <c r="D147" s="1030">
        <v>113611.61</v>
      </c>
      <c r="E147" s="1065">
        <v>139478.93</v>
      </c>
      <c r="F147" s="1030">
        <v>310883</v>
      </c>
      <c r="G147" s="1030">
        <v>310883</v>
      </c>
      <c r="H147" s="1065">
        <v>310883</v>
      </c>
      <c r="I147" s="1067">
        <v>310883</v>
      </c>
      <c r="J147" s="1031">
        <v>176194.85317199997</v>
      </c>
      <c r="K147" s="1030">
        <v>186766.54436231998</v>
      </c>
      <c r="L147" s="1065">
        <v>197972.53702405919</v>
      </c>
      <c r="M147" s="338"/>
      <c r="N147" s="338"/>
      <c r="O147" s="338"/>
      <c r="P147" s="338"/>
    </row>
    <row r="148" spans="1:16" ht="11.25" customHeight="1" x14ac:dyDescent="0.25">
      <c r="A148" s="2199" t="s">
        <v>2345</v>
      </c>
      <c r="B148" s="280"/>
      <c r="C148" s="1030">
        <v>250676.38000000003</v>
      </c>
      <c r="D148" s="1030">
        <v>199375.65000000002</v>
      </c>
      <c r="E148" s="1065">
        <v>226750.12000000002</v>
      </c>
      <c r="F148" s="1030">
        <v>250650</v>
      </c>
      <c r="G148" s="1030">
        <v>305991.14285714284</v>
      </c>
      <c r="H148" s="1065">
        <v>305991.14285714284</v>
      </c>
      <c r="I148" s="1067">
        <v>305991.14285714284</v>
      </c>
      <c r="J148" s="1031">
        <v>305055</v>
      </c>
      <c r="K148" s="1030">
        <v>323358.3</v>
      </c>
      <c r="L148" s="1065">
        <v>342759.79800000001</v>
      </c>
      <c r="M148" s="338"/>
      <c r="N148" s="338"/>
      <c r="O148" s="338"/>
      <c r="P148" s="338"/>
    </row>
    <row r="149" spans="1:16" ht="11.25" customHeight="1" x14ac:dyDescent="0.25">
      <c r="A149" s="2199" t="s">
        <v>2341</v>
      </c>
      <c r="B149" s="280"/>
      <c r="C149" s="1030">
        <v>38340.14</v>
      </c>
      <c r="D149" s="1030">
        <v>102634.4</v>
      </c>
      <c r="E149" s="1065">
        <v>25560.71</v>
      </c>
      <c r="F149" s="1030">
        <v>448000</v>
      </c>
      <c r="G149" s="1030">
        <v>378500</v>
      </c>
      <c r="H149" s="1065">
        <v>378500</v>
      </c>
      <c r="I149" s="1067">
        <v>378500</v>
      </c>
      <c r="J149" s="1031">
        <v>635000</v>
      </c>
      <c r="K149" s="1030">
        <v>673100</v>
      </c>
      <c r="L149" s="1065">
        <v>713486</v>
      </c>
      <c r="M149" s="338"/>
      <c r="N149" s="338"/>
      <c r="O149" s="338"/>
      <c r="P149" s="338"/>
    </row>
    <row r="150" spans="1:16" ht="11.25" customHeight="1" x14ac:dyDescent="0.25">
      <c r="A150" s="2199" t="s">
        <v>2342</v>
      </c>
      <c r="B150" s="280"/>
      <c r="C150" s="1030">
        <v>704543.28</v>
      </c>
      <c r="D150" s="1030">
        <v>901412.00999999989</v>
      </c>
      <c r="E150" s="1065">
        <v>913743.20000000007</v>
      </c>
      <c r="F150" s="1030">
        <v>1180000</v>
      </c>
      <c r="G150" s="1030">
        <v>1413300</v>
      </c>
      <c r="H150" s="1065">
        <v>1413300</v>
      </c>
      <c r="I150" s="1067">
        <v>1413300</v>
      </c>
      <c r="J150" s="1031">
        <v>1295000</v>
      </c>
      <c r="K150" s="1030">
        <v>1372700</v>
      </c>
      <c r="L150" s="1065">
        <v>1455062</v>
      </c>
      <c r="M150" s="338"/>
      <c r="N150" s="338"/>
      <c r="O150" s="338"/>
      <c r="P150" s="338"/>
    </row>
    <row r="151" spans="1:16" ht="11.25" customHeight="1" x14ac:dyDescent="0.25">
      <c r="A151" s="2199" t="s">
        <v>2367</v>
      </c>
      <c r="B151" s="280"/>
      <c r="C151" s="1030">
        <v>0</v>
      </c>
      <c r="D151" s="1030">
        <v>100000</v>
      </c>
      <c r="E151" s="1065">
        <v>0</v>
      </c>
      <c r="F151" s="1030">
        <v>100000</v>
      </c>
      <c r="G151" s="1030">
        <v>100000</v>
      </c>
      <c r="H151" s="1065">
        <v>100000</v>
      </c>
      <c r="I151" s="1067">
        <v>100000</v>
      </c>
      <c r="J151" s="1031">
        <v>100000</v>
      </c>
      <c r="K151" s="1030">
        <v>106000</v>
      </c>
      <c r="L151" s="1065">
        <v>112360</v>
      </c>
      <c r="M151" s="338"/>
      <c r="N151" s="338"/>
      <c r="O151" s="338"/>
      <c r="P151" s="338"/>
    </row>
    <row r="152" spans="1:16" ht="11.25" customHeight="1" x14ac:dyDescent="0.25">
      <c r="A152" s="2199" t="s">
        <v>2373</v>
      </c>
      <c r="B152" s="280"/>
      <c r="C152" s="1030">
        <v>15811.6</v>
      </c>
      <c r="D152" s="1030">
        <v>32464.2</v>
      </c>
      <c r="E152" s="1065">
        <v>58642.52</v>
      </c>
      <c r="F152" s="1030">
        <v>150000</v>
      </c>
      <c r="G152" s="1030">
        <v>150000</v>
      </c>
      <c r="H152" s="1065">
        <v>150000</v>
      </c>
      <c r="I152" s="1067">
        <v>150000</v>
      </c>
      <c r="J152" s="1031">
        <v>60000</v>
      </c>
      <c r="K152" s="1030">
        <v>63600</v>
      </c>
      <c r="L152" s="1065">
        <v>67416</v>
      </c>
      <c r="M152" s="338"/>
      <c r="N152" s="338"/>
      <c r="O152" s="338"/>
      <c r="P152" s="338"/>
    </row>
    <row r="153" spans="1:16" ht="11.25" customHeight="1" x14ac:dyDescent="0.25">
      <c r="A153" s="2199" t="s">
        <v>2364</v>
      </c>
      <c r="B153" s="280"/>
      <c r="C153" s="1030">
        <v>0</v>
      </c>
      <c r="D153" s="1030">
        <v>193863.55</v>
      </c>
      <c r="E153" s="1065">
        <v>685977.86</v>
      </c>
      <c r="F153" s="1030">
        <v>0</v>
      </c>
      <c r="G153" s="1030">
        <v>0</v>
      </c>
      <c r="H153" s="1065">
        <v>0</v>
      </c>
      <c r="I153" s="1067">
        <v>0</v>
      </c>
      <c r="J153" s="1031">
        <v>0</v>
      </c>
      <c r="K153" s="1030">
        <v>0</v>
      </c>
      <c r="L153" s="1065">
        <v>0</v>
      </c>
      <c r="M153" s="338"/>
      <c r="N153" s="338"/>
      <c r="O153" s="338"/>
      <c r="P153" s="338"/>
    </row>
    <row r="154" spans="1:16" ht="11.25" customHeight="1" x14ac:dyDescent="0.25">
      <c r="A154" s="2199" t="s">
        <v>405</v>
      </c>
      <c r="B154" s="280"/>
      <c r="C154" s="1030">
        <v>1133566.17</v>
      </c>
      <c r="D154" s="1030">
        <v>1553123.5400000003</v>
      </c>
      <c r="E154" s="1065">
        <v>2154289.1300000008</v>
      </c>
      <c r="F154" s="1030">
        <v>5725750</v>
      </c>
      <c r="G154" s="1030">
        <v>5571750</v>
      </c>
      <c r="H154" s="1065">
        <v>5571750</v>
      </c>
      <c r="I154" s="1067">
        <v>5571750</v>
      </c>
      <c r="J154" s="1031">
        <v>5026250</v>
      </c>
      <c r="K154" s="1030">
        <v>5327825</v>
      </c>
      <c r="L154" s="1065">
        <v>5647494.5</v>
      </c>
      <c r="M154" s="338"/>
      <c r="N154" s="338"/>
      <c r="O154" s="338"/>
      <c r="P154" s="338"/>
    </row>
    <row r="155" spans="1:16" ht="11.25" customHeight="1" x14ac:dyDescent="0.25">
      <c r="A155" s="2199" t="s">
        <v>2349</v>
      </c>
      <c r="B155" s="280"/>
      <c r="C155" s="1030">
        <v>17582320.370000001</v>
      </c>
      <c r="D155" s="1030">
        <v>1287444.6132220037</v>
      </c>
      <c r="E155" s="1065">
        <v>4564176.42</v>
      </c>
      <c r="F155" s="1030">
        <v>2488000</v>
      </c>
      <c r="G155" s="1030">
        <v>2965000</v>
      </c>
      <c r="H155" s="1065">
        <v>2965000</v>
      </c>
      <c r="I155" s="1067">
        <v>2965000</v>
      </c>
      <c r="J155" s="1031">
        <v>3050000</v>
      </c>
      <c r="K155" s="1030">
        <v>3030000</v>
      </c>
      <c r="L155" s="1065">
        <v>3328200</v>
      </c>
      <c r="M155" s="338"/>
      <c r="N155" s="338"/>
      <c r="O155" s="338"/>
      <c r="P155" s="338"/>
    </row>
    <row r="156" spans="1:16" ht="11.25" customHeight="1" x14ac:dyDescent="0.25">
      <c r="A156" s="2199" t="s">
        <v>2356</v>
      </c>
      <c r="B156" s="280"/>
      <c r="C156" s="1030">
        <v>0</v>
      </c>
      <c r="D156" s="1030">
        <v>37500</v>
      </c>
      <c r="E156" s="1065">
        <v>0</v>
      </c>
      <c r="F156" s="1030">
        <v>0</v>
      </c>
      <c r="G156" s="1030">
        <v>0</v>
      </c>
      <c r="H156" s="1065">
        <v>0</v>
      </c>
      <c r="I156" s="1067">
        <v>0</v>
      </c>
      <c r="J156" s="1031">
        <v>0</v>
      </c>
      <c r="K156" s="1030">
        <v>0</v>
      </c>
      <c r="L156" s="1065">
        <v>0</v>
      </c>
      <c r="M156" s="338"/>
      <c r="N156" s="338"/>
      <c r="O156" s="338"/>
      <c r="P156" s="338"/>
    </row>
    <row r="157" spans="1:16" ht="11.25" customHeight="1" x14ac:dyDescent="0.25">
      <c r="A157" s="2200" t="s">
        <v>2350</v>
      </c>
      <c r="B157" s="280"/>
      <c r="C157" s="1030">
        <v>0</v>
      </c>
      <c r="D157" s="1030">
        <v>55506.5</v>
      </c>
      <c r="E157" s="1065">
        <v>76483.570000000007</v>
      </c>
      <c r="F157" s="1030">
        <v>0</v>
      </c>
      <c r="G157" s="1030">
        <v>0</v>
      </c>
      <c r="H157" s="1065">
        <v>0</v>
      </c>
      <c r="I157" s="1067">
        <v>0</v>
      </c>
      <c r="J157" s="1031">
        <v>0</v>
      </c>
      <c r="K157" s="1030">
        <v>0</v>
      </c>
      <c r="L157" s="1065">
        <v>0</v>
      </c>
      <c r="M157" s="338"/>
      <c r="N157" s="338"/>
      <c r="O157" s="338"/>
      <c r="P157" s="338"/>
    </row>
    <row r="158" spans="1:16" ht="11.25" customHeight="1" x14ac:dyDescent="0.25">
      <c r="A158" s="2200" t="s">
        <v>2390</v>
      </c>
      <c r="B158" s="280"/>
      <c r="C158" s="1030">
        <v>0</v>
      </c>
      <c r="D158" s="1030">
        <v>0</v>
      </c>
      <c r="E158" s="1065">
        <v>0</v>
      </c>
      <c r="F158" s="1030">
        <v>1556100</v>
      </c>
      <c r="G158" s="1030">
        <v>0</v>
      </c>
      <c r="H158" s="1065">
        <v>0</v>
      </c>
      <c r="I158" s="1067">
        <v>0</v>
      </c>
      <c r="J158" s="1031">
        <v>0</v>
      </c>
      <c r="K158" s="1030">
        <v>0</v>
      </c>
      <c r="L158" s="1065">
        <v>0</v>
      </c>
      <c r="M158" s="338"/>
      <c r="N158" s="338"/>
      <c r="O158" s="338"/>
      <c r="P158" s="338"/>
    </row>
    <row r="159" spans="1:16" ht="11.25" customHeight="1" x14ac:dyDescent="0.25">
      <c r="A159" s="2200"/>
      <c r="B159" s="280"/>
      <c r="C159" s="1030"/>
      <c r="D159" s="1030"/>
      <c r="E159" s="1065"/>
      <c r="F159" s="1066"/>
      <c r="G159" s="1030"/>
      <c r="H159" s="1065"/>
      <c r="I159" s="1067"/>
      <c r="J159" s="1031"/>
      <c r="K159" s="1030"/>
      <c r="L159" s="1065"/>
      <c r="M159" s="338"/>
      <c r="N159" s="338"/>
      <c r="O159" s="338"/>
      <c r="P159" s="338"/>
    </row>
    <row r="160" spans="1:16" ht="11.25" customHeight="1" x14ac:dyDescent="0.25">
      <c r="A160" s="2200"/>
      <c r="B160" s="280"/>
      <c r="C160" s="1030"/>
      <c r="D160" s="1030"/>
      <c r="E160" s="1065"/>
      <c r="F160" s="1066"/>
      <c r="G160" s="1030"/>
      <c r="H160" s="1065"/>
      <c r="I160" s="1067"/>
      <c r="J160" s="1031"/>
      <c r="K160" s="1030"/>
      <c r="L160" s="1065"/>
      <c r="M160" s="338"/>
      <c r="N160" s="338"/>
      <c r="O160" s="338"/>
      <c r="P160" s="338"/>
    </row>
    <row r="161" spans="1:16" ht="11.25" customHeight="1" x14ac:dyDescent="0.25">
      <c r="A161" s="2200"/>
      <c r="B161" s="280"/>
      <c r="C161" s="1030"/>
      <c r="D161" s="1030"/>
      <c r="E161" s="1065"/>
      <c r="F161" s="1066"/>
      <c r="G161" s="1030"/>
      <c r="H161" s="1065"/>
      <c r="I161" s="1067"/>
      <c r="J161" s="1031"/>
      <c r="K161" s="1030"/>
      <c r="L161" s="1065"/>
      <c r="M161" s="338"/>
      <c r="N161" s="338"/>
      <c r="O161" s="338"/>
      <c r="P161" s="338"/>
    </row>
    <row r="162" spans="1:16" ht="11.25" customHeight="1" x14ac:dyDescent="0.25">
      <c r="A162" s="2200"/>
      <c r="B162" s="280"/>
      <c r="C162" s="1030"/>
      <c r="D162" s="1030"/>
      <c r="E162" s="1065"/>
      <c r="F162" s="1066"/>
      <c r="G162" s="1030"/>
      <c r="H162" s="1065"/>
      <c r="I162" s="1067"/>
      <c r="J162" s="1031"/>
      <c r="K162" s="1030"/>
      <c r="L162" s="1065"/>
      <c r="M162" s="338"/>
      <c r="N162" s="338"/>
      <c r="O162" s="338"/>
      <c r="P162" s="338"/>
    </row>
    <row r="163" spans="1:16" ht="11.25" customHeight="1" x14ac:dyDescent="0.25">
      <c r="A163" s="2206" t="s">
        <v>770</v>
      </c>
      <c r="B163" s="2207">
        <v>1</v>
      </c>
      <c r="C163" s="224">
        <v>24707519.130000003</v>
      </c>
      <c r="D163" s="224">
        <v>9141790.1900000013</v>
      </c>
      <c r="E163" s="320">
        <v>15007908.000000002</v>
      </c>
      <c r="F163" s="321">
        <v>18097983.549387999</v>
      </c>
      <c r="G163" s="224">
        <v>19372809.142857142</v>
      </c>
      <c r="H163" s="320">
        <v>19372809.142857142</v>
      </c>
      <c r="I163" s="223">
        <v>19372809.142857142</v>
      </c>
      <c r="J163" s="322">
        <v>21093124.413171999</v>
      </c>
      <c r="K163" s="224">
        <v>20035711.877962321</v>
      </c>
      <c r="L163" s="320">
        <v>21354254.590640057</v>
      </c>
      <c r="M163" s="338"/>
      <c r="N163" s="338"/>
      <c r="O163" s="338"/>
      <c r="P163" s="338"/>
    </row>
    <row r="164" spans="1:16" ht="11.25" customHeight="1" x14ac:dyDescent="0.25">
      <c r="A164" s="233"/>
      <c r="B164" s="388"/>
      <c r="C164" s="359"/>
      <c r="D164" s="359"/>
      <c r="E164" s="359"/>
      <c r="F164" s="359"/>
      <c r="G164" s="359"/>
      <c r="H164" s="359"/>
      <c r="I164" s="359"/>
      <c r="J164" s="359"/>
      <c r="K164" s="359"/>
      <c r="L164" s="359"/>
      <c r="M164" s="338"/>
      <c r="N164" s="338"/>
      <c r="O164" s="338"/>
      <c r="P164" s="338"/>
    </row>
    <row r="165" spans="1:16" ht="11.25" customHeight="1" x14ac:dyDescent="0.25">
      <c r="A165" s="2208" t="s">
        <v>1951</v>
      </c>
      <c r="B165" s="2209">
        <v>8</v>
      </c>
      <c r="C165" s="2210"/>
      <c r="D165" s="2211"/>
      <c r="E165" s="2212"/>
      <c r="F165" s="2210"/>
      <c r="G165" s="2211"/>
      <c r="H165" s="2212"/>
      <c r="I165" s="2213"/>
      <c r="J165" s="2210"/>
      <c r="K165" s="2211"/>
      <c r="L165" s="2212"/>
      <c r="M165" s="338"/>
      <c r="N165" s="338"/>
      <c r="O165" s="338"/>
      <c r="P165" s="338"/>
    </row>
    <row r="166" spans="1:16" ht="27" customHeight="1" x14ac:dyDescent="0.25">
      <c r="A166" s="302" t="s">
        <v>478</v>
      </c>
      <c r="B166" s="2214"/>
      <c r="C166" s="2026">
        <v>0</v>
      </c>
      <c r="D166" s="1030">
        <v>0</v>
      </c>
      <c r="E166" s="2025">
        <v>0</v>
      </c>
      <c r="F166" s="2026">
        <v>0</v>
      </c>
      <c r="G166" s="1030">
        <v>0</v>
      </c>
      <c r="H166" s="2025">
        <v>0</v>
      </c>
      <c r="I166" s="2215">
        <v>0</v>
      </c>
      <c r="J166" s="2026">
        <v>0</v>
      </c>
      <c r="K166" s="1030">
        <v>0</v>
      </c>
      <c r="L166" s="2025">
        <v>0</v>
      </c>
      <c r="M166" s="338"/>
      <c r="N166" s="338"/>
      <c r="O166" s="338"/>
      <c r="P166" s="338"/>
    </row>
    <row r="167" spans="1:16" s="625" customFormat="1" ht="11.25" customHeight="1" x14ac:dyDescent="0.25">
      <c r="A167" s="302" t="s">
        <v>1533</v>
      </c>
      <c r="B167" s="2214"/>
      <c r="C167" s="2026">
        <v>0</v>
      </c>
      <c r="D167" s="1030">
        <v>0</v>
      </c>
      <c r="E167" s="2025">
        <v>0</v>
      </c>
      <c r="F167" s="2026">
        <v>0</v>
      </c>
      <c r="G167" s="1030">
        <v>0</v>
      </c>
      <c r="H167" s="2025">
        <v>0</v>
      </c>
      <c r="I167" s="2215">
        <v>0</v>
      </c>
      <c r="J167" s="2026">
        <v>0</v>
      </c>
      <c r="K167" s="1030">
        <v>0</v>
      </c>
      <c r="L167" s="2025">
        <v>0</v>
      </c>
      <c r="M167" s="873"/>
      <c r="N167" s="873"/>
      <c r="O167" s="873"/>
      <c r="P167" s="873"/>
    </row>
    <row r="168" spans="1:16" s="625" customFormat="1" ht="11.25" customHeight="1" x14ac:dyDescent="0.25">
      <c r="A168" s="302" t="s">
        <v>1952</v>
      </c>
      <c r="B168" s="2214"/>
      <c r="C168" s="2026">
        <v>0</v>
      </c>
      <c r="D168" s="1030">
        <v>0</v>
      </c>
      <c r="E168" s="2025">
        <v>0</v>
      </c>
      <c r="F168" s="2026">
        <v>0</v>
      </c>
      <c r="G168" s="1030">
        <v>0</v>
      </c>
      <c r="H168" s="2025">
        <v>0</v>
      </c>
      <c r="I168" s="2215">
        <v>0</v>
      </c>
      <c r="J168" s="2026">
        <v>0</v>
      </c>
      <c r="K168" s="1030">
        <v>0</v>
      </c>
      <c r="L168" s="2025">
        <v>0</v>
      </c>
      <c r="M168" s="873"/>
      <c r="N168" s="873"/>
      <c r="O168" s="873"/>
      <c r="P168" s="873"/>
    </row>
    <row r="169" spans="1:16" s="625" customFormat="1" ht="11.25" customHeight="1" x14ac:dyDescent="0.25">
      <c r="A169" s="302" t="s">
        <v>1953</v>
      </c>
      <c r="B169" s="2214"/>
      <c r="C169" s="2216">
        <v>1133566.17</v>
      </c>
      <c r="D169" s="2217">
        <v>1553123.5400000003</v>
      </c>
      <c r="E169" s="2218">
        <v>2154289.1300000008</v>
      </c>
      <c r="F169" s="2216">
        <v>5725750</v>
      </c>
      <c r="G169" s="2217">
        <v>5571750</v>
      </c>
      <c r="H169" s="2218">
        <v>5571750</v>
      </c>
      <c r="I169" s="2219">
        <v>5571750</v>
      </c>
      <c r="J169" s="2216">
        <v>5026250</v>
      </c>
      <c r="K169" s="2217">
        <v>5327825</v>
      </c>
      <c r="L169" s="2218">
        <v>5647494.5</v>
      </c>
      <c r="M169" s="873"/>
      <c r="N169" s="873"/>
      <c r="O169" s="873"/>
      <c r="P169" s="873"/>
    </row>
    <row r="170" spans="1:16" s="625" customFormat="1" ht="11.25" customHeight="1" x14ac:dyDescent="0.25">
      <c r="A170" s="2206" t="s">
        <v>1232</v>
      </c>
      <c r="B170" s="2220">
        <v>9</v>
      </c>
      <c r="C170" s="2221">
        <v>1133566.17</v>
      </c>
      <c r="D170" s="707">
        <v>1553123.5400000003</v>
      </c>
      <c r="E170" s="2222">
        <v>2154289.1300000008</v>
      </c>
      <c r="F170" s="2221">
        <v>5725750</v>
      </c>
      <c r="G170" s="707">
        <v>5571750</v>
      </c>
      <c r="H170" s="2222">
        <v>5571750</v>
      </c>
      <c r="I170" s="1294">
        <v>5571750</v>
      </c>
      <c r="J170" s="2221">
        <v>5026250</v>
      </c>
      <c r="K170" s="707">
        <v>5327825</v>
      </c>
      <c r="L170" s="2222">
        <v>5647494.5</v>
      </c>
      <c r="M170" s="873"/>
      <c r="N170" s="873"/>
      <c r="O170" s="873"/>
      <c r="P170" s="873"/>
    </row>
    <row r="171" spans="1:16" s="625" customFormat="1" ht="11.25" customHeight="1" x14ac:dyDescent="0.25">
      <c r="A171" s="233"/>
      <c r="B171" s="328"/>
      <c r="C171" s="208"/>
      <c r="D171" s="208"/>
      <c r="E171" s="208"/>
      <c r="F171" s="208"/>
      <c r="G171" s="208"/>
      <c r="H171" s="208"/>
      <c r="I171" s="208"/>
      <c r="J171" s="208"/>
      <c r="K171" s="208"/>
      <c r="L171" s="208"/>
      <c r="M171" s="873"/>
      <c r="N171" s="873"/>
      <c r="O171" s="873"/>
      <c r="P171" s="873"/>
    </row>
    <row r="172" spans="1:16" s="625" customFormat="1" ht="12.75" customHeight="1" x14ac:dyDescent="0.25">
      <c r="A172" s="1264" t="s">
        <v>1528</v>
      </c>
      <c r="B172" s="338"/>
      <c r="C172" s="208">
        <v>0</v>
      </c>
      <c r="D172" s="208">
        <v>0</v>
      </c>
      <c r="E172" s="208">
        <v>0</v>
      </c>
      <c r="F172" s="208">
        <v>5725750</v>
      </c>
      <c r="G172" s="208">
        <v>0</v>
      </c>
      <c r="H172" s="208">
        <v>0</v>
      </c>
      <c r="I172" s="208"/>
      <c r="J172" s="208">
        <v>0</v>
      </c>
      <c r="K172" s="208">
        <v>0</v>
      </c>
      <c r="L172" s="208">
        <v>0</v>
      </c>
      <c r="M172" s="873"/>
      <c r="N172" s="873"/>
      <c r="O172" s="873"/>
      <c r="P172" s="873"/>
    </row>
    <row r="173" spans="1:16" s="625" customFormat="1" ht="11.25" customHeight="1" x14ac:dyDescent="0.25">
      <c r="A173" s="233"/>
      <c r="B173" s="388"/>
      <c r="C173" s="359"/>
      <c r="D173" s="359"/>
      <c r="E173" s="359"/>
      <c r="F173" s="359"/>
      <c r="G173" s="359"/>
      <c r="H173" s="359"/>
      <c r="I173" s="359"/>
      <c r="J173" s="359"/>
      <c r="K173" s="359"/>
      <c r="L173" s="359"/>
    </row>
    <row r="174" spans="1:16" ht="6" customHeight="1" x14ac:dyDescent="0.25">
      <c r="A174" s="233"/>
      <c r="B174" s="388"/>
      <c r="C174" s="359"/>
      <c r="D174" s="359"/>
      <c r="E174" s="359"/>
      <c r="F174" s="359"/>
      <c r="G174" s="359"/>
      <c r="H174" s="359"/>
      <c r="I174" s="359"/>
      <c r="J174" s="359"/>
      <c r="K174" s="359"/>
      <c r="L174" s="359"/>
    </row>
    <row r="175" spans="1:16" ht="15" customHeight="1" x14ac:dyDescent="0.25">
      <c r="A175" s="2223" t="s">
        <v>986</v>
      </c>
      <c r="B175" s="1927"/>
      <c r="C175" s="839"/>
      <c r="D175" s="839"/>
      <c r="E175" s="839"/>
      <c r="F175" s="839"/>
      <c r="G175" s="839"/>
      <c r="H175" s="839"/>
      <c r="I175" s="839"/>
      <c r="J175" s="839"/>
      <c r="K175" s="839"/>
      <c r="L175" s="839"/>
    </row>
    <row r="176" spans="1:16" ht="12" customHeight="1" x14ac:dyDescent="0.25">
      <c r="A176" s="931" t="s">
        <v>771</v>
      </c>
      <c r="B176" s="1927"/>
      <c r="C176" s="2083"/>
      <c r="D176" s="2083"/>
      <c r="E176" s="839"/>
      <c r="F176" s="839"/>
      <c r="G176" s="839"/>
      <c r="H176" s="839"/>
      <c r="I176" s="839"/>
      <c r="J176" s="839"/>
      <c r="K176" s="839"/>
      <c r="L176" s="839"/>
    </row>
    <row r="177" spans="1:12" x14ac:dyDescent="0.25">
      <c r="A177" s="931" t="s">
        <v>1076</v>
      </c>
      <c r="B177" s="1927"/>
      <c r="C177" s="2083"/>
      <c r="D177" s="2083"/>
      <c r="E177" s="839"/>
      <c r="F177" s="839"/>
      <c r="G177" s="839"/>
      <c r="H177" s="839"/>
      <c r="I177" s="839"/>
      <c r="J177" s="839"/>
      <c r="K177" s="839"/>
      <c r="L177" s="839"/>
    </row>
    <row r="178" spans="1:12" x14ac:dyDescent="0.25">
      <c r="A178" s="931" t="s">
        <v>773</v>
      </c>
      <c r="B178" s="1927"/>
      <c r="C178" s="2083"/>
      <c r="D178" s="2083"/>
      <c r="E178" s="839"/>
      <c r="F178" s="839"/>
      <c r="G178" s="839"/>
      <c r="H178" s="839"/>
      <c r="I178" s="839"/>
      <c r="J178" s="839"/>
      <c r="K178" s="839"/>
      <c r="L178" s="839"/>
    </row>
    <row r="179" spans="1:12" ht="11.25" customHeight="1" x14ac:dyDescent="0.25">
      <c r="A179" s="931" t="s">
        <v>772</v>
      </c>
      <c r="B179" s="1927"/>
      <c r="C179" s="2083"/>
      <c r="D179" s="2083"/>
      <c r="E179" s="839"/>
      <c r="F179" s="839"/>
      <c r="G179" s="839"/>
      <c r="H179" s="839"/>
      <c r="I179" s="839"/>
      <c r="J179" s="839"/>
      <c r="K179" s="839"/>
      <c r="L179" s="839"/>
    </row>
    <row r="180" spans="1:12" ht="11.25" customHeight="1" x14ac:dyDescent="0.25">
      <c r="A180" s="931" t="s">
        <v>1290</v>
      </c>
      <c r="B180" s="1927"/>
      <c r="C180" s="2083"/>
      <c r="D180" s="2083"/>
      <c r="E180" s="839"/>
      <c r="F180" s="839"/>
      <c r="G180" s="839"/>
      <c r="H180" s="839"/>
      <c r="I180" s="839"/>
      <c r="J180" s="839"/>
      <c r="K180" s="839"/>
      <c r="L180" s="839"/>
    </row>
    <row r="181" spans="1:12" ht="11.25" customHeight="1" x14ac:dyDescent="0.25">
      <c r="A181" s="931" t="s">
        <v>1702</v>
      </c>
      <c r="B181" s="1927"/>
      <c r="C181" s="2083"/>
      <c r="D181" s="2083"/>
      <c r="E181" s="839"/>
      <c r="F181" s="839"/>
      <c r="G181" s="839"/>
      <c r="H181" s="839"/>
      <c r="I181" s="839"/>
      <c r="J181" s="839"/>
      <c r="K181" s="839"/>
      <c r="L181" s="839"/>
    </row>
    <row r="182" spans="1:12" ht="11.25" customHeight="1" x14ac:dyDescent="0.25">
      <c r="A182" s="931" t="s">
        <v>123</v>
      </c>
      <c r="B182" s="1927"/>
      <c r="C182" s="2083"/>
      <c r="D182" s="2083"/>
      <c r="E182" s="839"/>
      <c r="F182" s="839"/>
      <c r="G182" s="839"/>
      <c r="H182" s="839"/>
      <c r="I182" s="839"/>
      <c r="J182" s="839"/>
      <c r="K182" s="839"/>
      <c r="L182" s="839"/>
    </row>
    <row r="183" spans="1:12" ht="11.25" customHeight="1" x14ac:dyDescent="0.25">
      <c r="A183" s="2135" t="s">
        <v>1955</v>
      </c>
    </row>
    <row r="184" spans="1:12" ht="11.25" customHeight="1" x14ac:dyDescent="0.25">
      <c r="A184" s="338" t="s">
        <v>1956</v>
      </c>
    </row>
    <row r="185" spans="1:12" ht="11.25" customHeight="1" x14ac:dyDescent="0.25">
      <c r="A185" s="338" t="s">
        <v>2221</v>
      </c>
      <c r="B185" s="338"/>
    </row>
    <row r="186" spans="1:12" ht="11.25" customHeight="1" x14ac:dyDescent="0.25">
      <c r="B186" s="338"/>
    </row>
    <row r="187" spans="1:12" ht="11.25" customHeight="1" x14ac:dyDescent="0.25">
      <c r="B187" s="338"/>
    </row>
    <row r="188" spans="1:12" ht="11.25" customHeight="1" x14ac:dyDescent="0.25">
      <c r="B188" s="338"/>
    </row>
    <row r="189" spans="1:12" ht="11.25" customHeight="1" x14ac:dyDescent="0.25">
      <c r="B189" s="338"/>
    </row>
    <row r="190" spans="1:12" ht="11.25" customHeight="1" x14ac:dyDescent="0.25">
      <c r="B190" s="338"/>
    </row>
    <row r="191" spans="1:12" ht="11.25" customHeight="1" x14ac:dyDescent="0.25">
      <c r="B191" s="338"/>
    </row>
    <row r="192" spans="1:12" ht="11.25" customHeight="1" x14ac:dyDescent="0.25">
      <c r="B192" s="338"/>
    </row>
    <row r="193" spans="2:2" ht="11.25" customHeight="1" x14ac:dyDescent="0.25">
      <c r="B193" s="338"/>
    </row>
    <row r="194" spans="2:2" ht="11.25" customHeight="1" x14ac:dyDescent="0.25">
      <c r="B194" s="338"/>
    </row>
    <row r="195" spans="2:2" ht="11.25" customHeight="1" x14ac:dyDescent="0.25">
      <c r="B195" s="338"/>
    </row>
    <row r="196" spans="2:2" ht="11.25" customHeight="1" x14ac:dyDescent="0.25">
      <c r="B196" s="338"/>
    </row>
    <row r="197" spans="2:2" ht="11.25" customHeight="1" x14ac:dyDescent="0.25">
      <c r="B197" s="338"/>
    </row>
    <row r="198" spans="2:2" ht="11.25" customHeight="1" x14ac:dyDescent="0.25">
      <c r="B198" s="338"/>
    </row>
    <row r="199" spans="2:2" ht="11.25" customHeight="1" x14ac:dyDescent="0.25">
      <c r="B199" s="338"/>
    </row>
    <row r="200" spans="2:2" ht="11.25" customHeight="1" x14ac:dyDescent="0.25">
      <c r="B200" s="338"/>
    </row>
    <row r="201" spans="2:2" ht="11.25" customHeight="1" x14ac:dyDescent="0.25">
      <c r="B201" s="338"/>
    </row>
    <row r="202" spans="2:2" ht="11.25" customHeight="1" x14ac:dyDescent="0.25">
      <c r="B202" s="338"/>
    </row>
    <row r="203" spans="2:2" ht="11.25" customHeight="1" x14ac:dyDescent="0.25">
      <c r="B203" s="338"/>
    </row>
    <row r="204" spans="2:2" ht="11.25" customHeight="1" x14ac:dyDescent="0.25">
      <c r="B204" s="338"/>
    </row>
    <row r="205" spans="2:2" ht="11.25" customHeight="1" x14ac:dyDescent="0.25">
      <c r="B205" s="338"/>
    </row>
    <row r="206" spans="2:2" ht="11.25" customHeight="1" x14ac:dyDescent="0.25">
      <c r="B206" s="338"/>
    </row>
    <row r="207" spans="2:2" ht="11.25" customHeight="1" x14ac:dyDescent="0.25">
      <c r="B207" s="338"/>
    </row>
    <row r="208" spans="2:2" ht="11.25" customHeight="1" x14ac:dyDescent="0.25">
      <c r="B208" s="338"/>
    </row>
    <row r="209" spans="2:2" ht="11.25" customHeight="1" x14ac:dyDescent="0.25">
      <c r="B209" s="338"/>
    </row>
    <row r="210" spans="2:2" ht="11.25" customHeight="1" x14ac:dyDescent="0.25">
      <c r="B210" s="338"/>
    </row>
    <row r="211" spans="2:2" ht="11.25" customHeight="1" x14ac:dyDescent="0.25">
      <c r="B211" s="338"/>
    </row>
    <row r="212" spans="2:2" ht="11.25" customHeight="1" x14ac:dyDescent="0.25">
      <c r="B212" s="338"/>
    </row>
    <row r="213" spans="2:2" ht="11.25" customHeight="1" x14ac:dyDescent="0.25">
      <c r="B213" s="338"/>
    </row>
    <row r="214" spans="2:2" ht="11.25" customHeight="1" x14ac:dyDescent="0.25">
      <c r="B214" s="338"/>
    </row>
    <row r="215" spans="2:2" ht="11.25" customHeight="1" x14ac:dyDescent="0.25">
      <c r="B215" s="338"/>
    </row>
    <row r="216" spans="2:2" ht="11.25" customHeight="1" x14ac:dyDescent="0.25">
      <c r="B216" s="338"/>
    </row>
    <row r="217" spans="2:2" ht="11.25" customHeight="1" x14ac:dyDescent="0.25">
      <c r="B217" s="338"/>
    </row>
    <row r="218" spans="2:2" ht="11.25" customHeight="1" x14ac:dyDescent="0.25">
      <c r="B218" s="338"/>
    </row>
    <row r="219" spans="2:2" ht="11.25" customHeight="1" x14ac:dyDescent="0.25">
      <c r="B219" s="338"/>
    </row>
    <row r="220" spans="2:2" ht="11.25" customHeight="1" x14ac:dyDescent="0.25">
      <c r="B220" s="338"/>
    </row>
    <row r="221" spans="2:2" ht="11.25" customHeight="1" x14ac:dyDescent="0.25">
      <c r="B221" s="338"/>
    </row>
    <row r="222" spans="2:2" ht="11.25" customHeight="1" x14ac:dyDescent="0.25">
      <c r="B222" s="338"/>
    </row>
    <row r="223" spans="2:2" ht="11.25" customHeight="1" x14ac:dyDescent="0.25">
      <c r="B223" s="338"/>
    </row>
    <row r="224" spans="2:2" ht="11.25" customHeight="1" x14ac:dyDescent="0.25">
      <c r="B224" s="338"/>
    </row>
    <row r="225" spans="2:2" ht="11.25" customHeight="1" x14ac:dyDescent="0.25">
      <c r="B225" s="338"/>
    </row>
    <row r="226" spans="2:2" ht="11.25" customHeight="1" x14ac:dyDescent="0.25">
      <c r="B226" s="338"/>
    </row>
    <row r="227" spans="2:2" ht="11.25" customHeight="1" x14ac:dyDescent="0.25">
      <c r="B227" s="338"/>
    </row>
    <row r="228" spans="2:2" ht="11.25" customHeight="1" x14ac:dyDescent="0.25">
      <c r="B228" s="338"/>
    </row>
    <row r="229" spans="2:2" ht="11.25" customHeight="1" x14ac:dyDescent="0.25">
      <c r="B229" s="338"/>
    </row>
    <row r="230" spans="2:2" ht="11.25" customHeight="1" x14ac:dyDescent="0.25">
      <c r="B230" s="338"/>
    </row>
    <row r="231" spans="2:2" ht="11.25" customHeight="1" x14ac:dyDescent="0.25">
      <c r="B231" s="338"/>
    </row>
    <row r="232" spans="2:2" ht="11.25" customHeight="1" x14ac:dyDescent="0.25">
      <c r="B232" s="338"/>
    </row>
    <row r="233" spans="2:2" ht="11.25" customHeight="1" x14ac:dyDescent="0.25">
      <c r="B233" s="338"/>
    </row>
    <row r="234" spans="2:2" ht="11.25" customHeight="1" x14ac:dyDescent="0.25">
      <c r="B234" s="338"/>
    </row>
    <row r="235" spans="2:2" ht="11.25" customHeight="1" x14ac:dyDescent="0.25">
      <c r="B235" s="338"/>
    </row>
    <row r="236" spans="2:2" ht="11.25" customHeight="1" x14ac:dyDescent="0.25">
      <c r="B236" s="338"/>
    </row>
    <row r="237" spans="2:2" ht="11.25" customHeight="1" x14ac:dyDescent="0.25">
      <c r="B237" s="338"/>
    </row>
    <row r="238" spans="2:2" ht="11.25" customHeight="1" x14ac:dyDescent="0.25">
      <c r="B238" s="338"/>
    </row>
    <row r="239" spans="2:2" ht="11.25" customHeight="1" x14ac:dyDescent="0.25">
      <c r="B239" s="338"/>
    </row>
    <row r="240" spans="2:2" x14ac:dyDescent="0.25">
      <c r="B240" s="338"/>
    </row>
    <row r="241" spans="2:2" x14ac:dyDescent="0.25">
      <c r="B241" s="338"/>
    </row>
    <row r="242" spans="2:2" x14ac:dyDescent="0.25">
      <c r="B242" s="338"/>
    </row>
    <row r="243" spans="2:2" x14ac:dyDescent="0.25">
      <c r="B243" s="338"/>
    </row>
    <row r="244" spans="2:2" x14ac:dyDescent="0.25">
      <c r="B244" s="338"/>
    </row>
    <row r="245" spans="2:2" x14ac:dyDescent="0.25">
      <c r="B245" s="338"/>
    </row>
    <row r="246" spans="2:2" x14ac:dyDescent="0.25">
      <c r="B246" s="338"/>
    </row>
    <row r="247" spans="2:2" x14ac:dyDescent="0.25">
      <c r="B247" s="338"/>
    </row>
    <row r="248" spans="2:2" x14ac:dyDescent="0.25">
      <c r="B248" s="338"/>
    </row>
    <row r="249" spans="2:2" x14ac:dyDescent="0.25">
      <c r="B249" s="338"/>
    </row>
    <row r="250" spans="2:2" x14ac:dyDescent="0.25">
      <c r="B250" s="338"/>
    </row>
    <row r="251" spans="2:2" x14ac:dyDescent="0.25">
      <c r="B251" s="338"/>
    </row>
    <row r="252" spans="2:2" x14ac:dyDescent="0.25">
      <c r="B252" s="338"/>
    </row>
    <row r="253" spans="2:2" x14ac:dyDescent="0.25">
      <c r="B253" s="338"/>
    </row>
    <row r="254" spans="2:2" x14ac:dyDescent="0.25">
      <c r="B254" s="338"/>
    </row>
    <row r="255" spans="2:2" x14ac:dyDescent="0.25">
      <c r="B255" s="338"/>
    </row>
    <row r="256" spans="2:2" x14ac:dyDescent="0.25">
      <c r="B256" s="338"/>
    </row>
    <row r="257" spans="2:2" x14ac:dyDescent="0.25">
      <c r="B257" s="338"/>
    </row>
    <row r="258" spans="2:2" x14ac:dyDescent="0.25">
      <c r="B258" s="338"/>
    </row>
    <row r="259" spans="2:2" x14ac:dyDescent="0.25">
      <c r="B259" s="338"/>
    </row>
    <row r="260" spans="2:2" x14ac:dyDescent="0.25">
      <c r="B260" s="338"/>
    </row>
    <row r="261" spans="2:2" x14ac:dyDescent="0.25">
      <c r="B261" s="338"/>
    </row>
    <row r="262" spans="2:2" x14ac:dyDescent="0.25">
      <c r="B262" s="338"/>
    </row>
    <row r="263" spans="2:2" x14ac:dyDescent="0.25">
      <c r="B263" s="338"/>
    </row>
    <row r="264" spans="2:2" x14ac:dyDescent="0.25">
      <c r="B264" s="338"/>
    </row>
    <row r="265" spans="2:2" x14ac:dyDescent="0.25">
      <c r="B265" s="338"/>
    </row>
    <row r="266" spans="2:2" x14ac:dyDescent="0.25">
      <c r="B266" s="338"/>
    </row>
    <row r="267" spans="2:2" x14ac:dyDescent="0.25">
      <c r="B267" s="338"/>
    </row>
    <row r="268" spans="2:2" x14ac:dyDescent="0.25">
      <c r="B268" s="338"/>
    </row>
    <row r="269" spans="2:2" x14ac:dyDescent="0.25">
      <c r="B269" s="338"/>
    </row>
    <row r="270" spans="2:2" x14ac:dyDescent="0.25">
      <c r="B270" s="338"/>
    </row>
    <row r="271" spans="2:2" x14ac:dyDescent="0.25">
      <c r="B271" s="338"/>
    </row>
    <row r="272" spans="2:2" x14ac:dyDescent="0.25">
      <c r="B272" s="338"/>
    </row>
    <row r="273" spans="2:2" x14ac:dyDescent="0.25">
      <c r="B273" s="338"/>
    </row>
    <row r="274" spans="2:2" x14ac:dyDescent="0.25">
      <c r="B274" s="338"/>
    </row>
    <row r="275" spans="2:2" x14ac:dyDescent="0.25">
      <c r="B275" s="338"/>
    </row>
    <row r="276" spans="2:2" x14ac:dyDescent="0.25">
      <c r="B276" s="338"/>
    </row>
    <row r="277" spans="2:2" x14ac:dyDescent="0.25">
      <c r="B277" s="338"/>
    </row>
    <row r="278" spans="2:2" x14ac:dyDescent="0.25">
      <c r="B278" s="338"/>
    </row>
    <row r="279" spans="2:2" x14ac:dyDescent="0.25">
      <c r="B279" s="338"/>
    </row>
    <row r="280" spans="2:2" x14ac:dyDescent="0.25">
      <c r="B280" s="338"/>
    </row>
    <row r="281" spans="2:2" x14ac:dyDescent="0.25">
      <c r="B281" s="338"/>
    </row>
    <row r="282" spans="2:2" x14ac:dyDescent="0.25">
      <c r="B282" s="338"/>
    </row>
    <row r="283" spans="2:2" x14ac:dyDescent="0.25">
      <c r="B283" s="338"/>
    </row>
    <row r="284" spans="2:2" x14ac:dyDescent="0.25">
      <c r="B284" s="338"/>
    </row>
    <row r="285" spans="2:2" x14ac:dyDescent="0.25">
      <c r="B285" s="338"/>
    </row>
  </sheetData>
  <mergeCells count="4">
    <mergeCell ref="J2:L2"/>
    <mergeCell ref="F2:I2"/>
    <mergeCell ref="A2:A3"/>
    <mergeCell ref="B2:B3"/>
  </mergeCells>
  <phoneticPr fontId="4" type="noConversion"/>
  <dataValidations count="1">
    <dataValidation type="decimal" allowBlank="1" showInputMessage="1" showErrorMessage="1" sqref="C166:L169 C87:L88 C7:L8 C119:L122 C92:L116 C82:L83 C75:L78 C66:L71 C62:L62 C49:L60 C33:L44 C27:L29 C22:L23 C17:L18 C12:L13 C126:L162">
      <formula1>-999999999999999</formula1>
      <formula2>99999999999999</formula2>
    </dataValidation>
  </dataValidations>
  <pageMargins left="0.75" right="0.75" top="1" bottom="1" header="0.5" footer="0.5"/>
  <pageSetup scale="3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enableFormatConditionsCalculation="0">
    <tabColor indexed="42"/>
    <pageSetUpPr fitToPage="1"/>
  </sheetPr>
  <dimension ref="A1:U83"/>
  <sheetViews>
    <sheetView showGridLines="0" tabSelected="1" workbookViewId="0">
      <pane xSplit="2" ySplit="3" topLeftCell="C21"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12" width="9.28515625" style="338" customWidth="1"/>
    <col min="13" max="17" width="9.28515625" style="148" hidden="1" customWidth="1"/>
    <col min="18" max="18" width="9.28515625" style="148" customWidth="1"/>
    <col min="19" max="20" width="9.140625" style="148"/>
    <col min="21" max="21" width="9.85546875" style="148" customWidth="1"/>
    <col min="22" max="22" width="9.5703125" style="148" customWidth="1"/>
    <col min="23" max="23" width="9.85546875" style="148" customWidth="1"/>
    <col min="24" max="26" width="9.5703125" style="148" customWidth="1"/>
    <col min="27" max="27" width="9.85546875" style="148" customWidth="1"/>
    <col min="28" max="30" width="9.5703125" style="148" customWidth="1"/>
    <col min="31" max="32" width="9.85546875" style="148" customWidth="1"/>
    <col min="33" max="16384" width="9.140625" style="148"/>
  </cols>
  <sheetData>
    <row r="1" spans="1:19" s="178" customFormat="1" x14ac:dyDescent="0.2">
      <c r="A1" s="146" t="s">
        <v>2511</v>
      </c>
      <c r="B1" s="146"/>
      <c r="C1" s="1997"/>
      <c r="D1" s="1997"/>
      <c r="E1" s="1997"/>
      <c r="F1" s="1997"/>
      <c r="G1" s="1997"/>
      <c r="H1" s="1997"/>
      <c r="I1" s="1997"/>
      <c r="J1" s="1997"/>
      <c r="K1" s="1997"/>
      <c r="L1" s="1997"/>
      <c r="M1" s="146"/>
      <c r="N1" s="146"/>
      <c r="O1" s="146"/>
      <c r="P1" s="146"/>
      <c r="Q1" s="146"/>
      <c r="R1" s="146"/>
    </row>
    <row r="2" spans="1:19" s="338" customFormat="1" ht="43.5" customHeight="1" x14ac:dyDescent="0.25">
      <c r="A2" s="142" t="s">
        <v>775</v>
      </c>
      <c r="B2" s="379" t="s">
        <v>429</v>
      </c>
      <c r="C2" s="2731" t="s">
        <v>2374</v>
      </c>
      <c r="D2" s="2731" t="s">
        <v>2375</v>
      </c>
      <c r="E2" s="2731" t="s">
        <v>2376</v>
      </c>
      <c r="F2" s="2731" t="s">
        <v>2377</v>
      </c>
      <c r="G2" s="2731" t="s">
        <v>2378</v>
      </c>
      <c r="H2" s="2731" t="s">
        <v>2379</v>
      </c>
      <c r="I2" s="2731" t="s">
        <v>2380</v>
      </c>
      <c r="J2" s="2731" t="s">
        <v>2381</v>
      </c>
      <c r="K2" s="2731" t="s">
        <v>2382</v>
      </c>
      <c r="L2" s="2731" t="s">
        <v>2383</v>
      </c>
      <c r="M2" s="2731" t="s">
        <v>2492</v>
      </c>
      <c r="N2" s="2731" t="s">
        <v>2493</v>
      </c>
      <c r="O2" s="2731" t="s">
        <v>2494</v>
      </c>
      <c r="P2" s="2731" t="s">
        <v>2495</v>
      </c>
      <c r="Q2" s="2731" t="s">
        <v>2496</v>
      </c>
      <c r="R2" s="2733" t="s">
        <v>776</v>
      </c>
      <c r="S2" s="1268"/>
    </row>
    <row r="3" spans="1:19" x14ac:dyDescent="0.25">
      <c r="A3" s="179" t="s">
        <v>667</v>
      </c>
      <c r="B3" s="277">
        <v>1</v>
      </c>
      <c r="C3" s="2732" t="s">
        <v>1022</v>
      </c>
      <c r="D3" s="2732" t="s">
        <v>1022</v>
      </c>
      <c r="E3" s="2732" t="s">
        <v>1022</v>
      </c>
      <c r="F3" s="2732" t="s">
        <v>1022</v>
      </c>
      <c r="G3" s="2732" t="s">
        <v>1022</v>
      </c>
      <c r="H3" s="2732" t="s">
        <v>1022</v>
      </c>
      <c r="I3" s="2732"/>
      <c r="J3" s="2732"/>
      <c r="K3" s="2732"/>
      <c r="L3" s="2732"/>
      <c r="M3" s="2732"/>
      <c r="N3" s="2732"/>
      <c r="O3" s="2732"/>
      <c r="P3" s="2732"/>
      <c r="Q3" s="2732" t="s">
        <v>1022</v>
      </c>
      <c r="R3" s="2734" t="s">
        <v>1022</v>
      </c>
    </row>
    <row r="4" spans="1:19" ht="11.25" customHeight="1" x14ac:dyDescent="0.25">
      <c r="A4" s="180" t="s">
        <v>669</v>
      </c>
      <c r="B4" s="279"/>
      <c r="C4" s="749"/>
      <c r="D4" s="749"/>
      <c r="E4" s="749"/>
      <c r="F4" s="749"/>
      <c r="G4" s="749"/>
      <c r="H4" s="749"/>
      <c r="I4" s="749"/>
      <c r="J4" s="749"/>
      <c r="K4" s="749"/>
      <c r="L4" s="749"/>
      <c r="M4" s="292"/>
      <c r="N4" s="292"/>
      <c r="O4" s="292"/>
      <c r="P4" s="292"/>
      <c r="Q4" s="292"/>
      <c r="R4" s="380"/>
    </row>
    <row r="5" spans="1:19" ht="11.25" customHeight="1" x14ac:dyDescent="0.25">
      <c r="A5" s="302" t="s">
        <v>543</v>
      </c>
      <c r="B5" s="280"/>
      <c r="C5" s="1030">
        <v>6196106.2399299834</v>
      </c>
      <c r="D5" s="1030">
        <v>0</v>
      </c>
      <c r="E5" s="1030">
        <v>0</v>
      </c>
      <c r="F5" s="1030">
        <v>0</v>
      </c>
      <c r="G5" s="1030">
        <v>0</v>
      </c>
      <c r="H5" s="1030">
        <v>0</v>
      </c>
      <c r="I5" s="1030">
        <v>0</v>
      </c>
      <c r="J5" s="1030">
        <v>0</v>
      </c>
      <c r="K5" s="1030">
        <v>0</v>
      </c>
      <c r="L5" s="1030">
        <v>0</v>
      </c>
      <c r="M5" s="1318"/>
      <c r="N5" s="1318"/>
      <c r="O5" s="1318"/>
      <c r="P5" s="1318"/>
      <c r="Q5" s="1318"/>
      <c r="R5" s="381">
        <v>6196106.2399299834</v>
      </c>
    </row>
    <row r="6" spans="1:19" ht="11.25" customHeight="1" x14ac:dyDescent="0.25">
      <c r="A6" s="302" t="s">
        <v>1617</v>
      </c>
      <c r="B6" s="280"/>
      <c r="C6" s="1030">
        <v>0</v>
      </c>
      <c r="D6" s="1030">
        <v>0</v>
      </c>
      <c r="E6" s="1030">
        <v>0</v>
      </c>
      <c r="F6" s="1030">
        <v>0</v>
      </c>
      <c r="G6" s="1030">
        <v>0</v>
      </c>
      <c r="H6" s="1030">
        <v>0</v>
      </c>
      <c r="I6" s="1030">
        <v>0</v>
      </c>
      <c r="J6" s="1030">
        <v>0</v>
      </c>
      <c r="K6" s="1030">
        <v>0</v>
      </c>
      <c r="L6" s="1030">
        <v>0</v>
      </c>
      <c r="M6" s="1318"/>
      <c r="N6" s="1318"/>
      <c r="O6" s="1318"/>
      <c r="P6" s="1318"/>
      <c r="Q6" s="1318"/>
      <c r="R6" s="381">
        <v>0</v>
      </c>
    </row>
    <row r="7" spans="1:19" ht="11.25" customHeight="1" x14ac:dyDescent="0.25">
      <c r="A7" s="302" t="s">
        <v>1809</v>
      </c>
      <c r="B7" s="280"/>
      <c r="C7" s="1030">
        <v>0</v>
      </c>
      <c r="D7" s="1030">
        <v>0</v>
      </c>
      <c r="E7" s="1030">
        <v>10177803.952679999</v>
      </c>
      <c r="F7" s="1030">
        <v>0</v>
      </c>
      <c r="G7" s="1030">
        <v>0</v>
      </c>
      <c r="H7" s="1030">
        <v>0</v>
      </c>
      <c r="I7" s="1030">
        <v>0</v>
      </c>
      <c r="J7" s="1030">
        <v>0</v>
      </c>
      <c r="K7" s="1030">
        <v>0</v>
      </c>
      <c r="L7" s="1030">
        <v>0</v>
      </c>
      <c r="M7" s="1318"/>
      <c r="N7" s="1318"/>
      <c r="O7" s="1318"/>
      <c r="P7" s="1318"/>
      <c r="Q7" s="1318"/>
      <c r="R7" s="381">
        <v>10177803.952679999</v>
      </c>
    </row>
    <row r="8" spans="1:19" ht="11.25" customHeight="1" x14ac:dyDescent="0.25">
      <c r="A8" s="302" t="s">
        <v>1810</v>
      </c>
      <c r="B8" s="280"/>
      <c r="C8" s="1030">
        <v>0</v>
      </c>
      <c r="D8" s="1030">
        <v>0</v>
      </c>
      <c r="E8" s="1030">
        <v>0</v>
      </c>
      <c r="F8" s="1030">
        <v>0</v>
      </c>
      <c r="G8" s="1030">
        <v>0</v>
      </c>
      <c r="H8" s="1030">
        <v>0</v>
      </c>
      <c r="I8" s="1030">
        <v>0</v>
      </c>
      <c r="J8" s="1030">
        <v>0</v>
      </c>
      <c r="K8" s="1030">
        <v>0</v>
      </c>
      <c r="L8" s="1030">
        <v>3431423</v>
      </c>
      <c r="M8" s="1318"/>
      <c r="N8" s="1318"/>
      <c r="O8" s="1318"/>
      <c r="P8" s="1318"/>
      <c r="Q8" s="1318"/>
      <c r="R8" s="381">
        <v>3431423</v>
      </c>
    </row>
    <row r="9" spans="1:19" ht="11.25" customHeight="1" x14ac:dyDescent="0.25">
      <c r="A9" s="302" t="s">
        <v>936</v>
      </c>
      <c r="B9" s="280"/>
      <c r="C9" s="1030">
        <v>0</v>
      </c>
      <c r="D9" s="1030">
        <v>0</v>
      </c>
      <c r="E9" s="1030">
        <v>0</v>
      </c>
      <c r="F9" s="1030">
        <v>0</v>
      </c>
      <c r="G9" s="1030">
        <v>0</v>
      </c>
      <c r="H9" s="1030">
        <v>0</v>
      </c>
      <c r="I9" s="1030">
        <v>0</v>
      </c>
      <c r="J9" s="1030">
        <v>0</v>
      </c>
      <c r="K9" s="1030">
        <v>4516765.4241599999</v>
      </c>
      <c r="L9" s="1030">
        <v>0</v>
      </c>
      <c r="M9" s="1318"/>
      <c r="N9" s="1318"/>
      <c r="O9" s="1318"/>
      <c r="P9" s="1318"/>
      <c r="Q9" s="1318"/>
      <c r="R9" s="381">
        <v>4516765.4241599999</v>
      </c>
    </row>
    <row r="10" spans="1:19" ht="11.25" customHeight="1" x14ac:dyDescent="0.25">
      <c r="A10" s="302" t="s">
        <v>1047</v>
      </c>
      <c r="B10" s="280"/>
      <c r="C10" s="1030">
        <v>0</v>
      </c>
      <c r="D10" s="1030">
        <v>0</v>
      </c>
      <c r="E10" s="1030">
        <v>0</v>
      </c>
      <c r="F10" s="1030">
        <v>0</v>
      </c>
      <c r="G10" s="1030">
        <v>0</v>
      </c>
      <c r="H10" s="1030">
        <v>0</v>
      </c>
      <c r="I10" s="1030">
        <v>0</v>
      </c>
      <c r="J10" s="1030">
        <v>0</v>
      </c>
      <c r="K10" s="1030">
        <v>3268366.6</v>
      </c>
      <c r="L10" s="1030">
        <v>0</v>
      </c>
      <c r="M10" s="1318"/>
      <c r="N10" s="1318"/>
      <c r="O10" s="1318"/>
      <c r="P10" s="1318"/>
      <c r="Q10" s="1318"/>
      <c r="R10" s="381">
        <v>3268366.6</v>
      </c>
    </row>
    <row r="11" spans="1:19" ht="11.25" customHeight="1" x14ac:dyDescent="0.25">
      <c r="A11" s="302" t="s">
        <v>938</v>
      </c>
      <c r="B11" s="280"/>
      <c r="C11" s="1030">
        <v>0</v>
      </c>
      <c r="D11" s="1030">
        <v>0</v>
      </c>
      <c r="E11" s="1030">
        <v>0</v>
      </c>
      <c r="F11" s="1030">
        <v>0</v>
      </c>
      <c r="G11" s="1030">
        <v>0</v>
      </c>
      <c r="H11" s="1030">
        <v>0</v>
      </c>
      <c r="I11" s="1030">
        <v>0</v>
      </c>
      <c r="J11" s="1030">
        <v>0</v>
      </c>
      <c r="K11" s="1030">
        <v>0</v>
      </c>
      <c r="L11" s="1030">
        <v>0</v>
      </c>
      <c r="M11" s="1318"/>
      <c r="N11" s="1318"/>
      <c r="O11" s="1318"/>
      <c r="P11" s="1318"/>
      <c r="Q11" s="1318"/>
      <c r="R11" s="381">
        <v>0</v>
      </c>
    </row>
    <row r="12" spans="1:19" ht="11.25" customHeight="1" x14ac:dyDescent="0.25">
      <c r="A12" s="302" t="s">
        <v>1619</v>
      </c>
      <c r="B12" s="280"/>
      <c r="C12" s="1030">
        <v>75204.845714285708</v>
      </c>
      <c r="D12" s="1030">
        <v>140000</v>
      </c>
      <c r="E12" s="1030">
        <v>0</v>
      </c>
      <c r="F12" s="1030">
        <v>390000</v>
      </c>
      <c r="G12" s="1030">
        <v>10000</v>
      </c>
      <c r="H12" s="1030">
        <v>6000</v>
      </c>
      <c r="I12" s="1030">
        <v>0</v>
      </c>
      <c r="J12" s="1030">
        <v>0</v>
      </c>
      <c r="K12" s="1030">
        <v>0</v>
      </c>
      <c r="L12" s="1030">
        <v>0</v>
      </c>
      <c r="M12" s="1318"/>
      <c r="N12" s="1318"/>
      <c r="O12" s="1318"/>
      <c r="P12" s="1318"/>
      <c r="Q12" s="1318"/>
      <c r="R12" s="381">
        <v>621204.84571428574</v>
      </c>
    </row>
    <row r="13" spans="1:19" ht="11.25" customHeight="1" x14ac:dyDescent="0.25">
      <c r="A13" s="302" t="s">
        <v>473</v>
      </c>
      <c r="B13" s="280"/>
      <c r="C13" s="1030">
        <v>380000</v>
      </c>
      <c r="D13" s="1030">
        <v>0</v>
      </c>
      <c r="E13" s="1030">
        <v>0</v>
      </c>
      <c r="F13" s="1030">
        <v>0</v>
      </c>
      <c r="G13" s="1030">
        <v>0</v>
      </c>
      <c r="H13" s="1030">
        <v>0</v>
      </c>
      <c r="I13" s="1030">
        <v>0</v>
      </c>
      <c r="J13" s="1030">
        <v>0</v>
      </c>
      <c r="K13" s="1030">
        <v>0</v>
      </c>
      <c r="L13" s="1030">
        <v>0</v>
      </c>
      <c r="M13" s="1318"/>
      <c r="N13" s="1318"/>
      <c r="O13" s="1318"/>
      <c r="P13" s="1318"/>
      <c r="Q13" s="1318"/>
      <c r="R13" s="381">
        <v>380000</v>
      </c>
    </row>
    <row r="14" spans="1:19" ht="11.25" customHeight="1" x14ac:dyDescent="0.25">
      <c r="A14" s="302" t="s">
        <v>474</v>
      </c>
      <c r="B14" s="280"/>
      <c r="C14" s="1030">
        <v>1800000</v>
      </c>
      <c r="D14" s="1030">
        <v>0</v>
      </c>
      <c r="E14" s="1030">
        <v>0</v>
      </c>
      <c r="F14" s="1030">
        <v>0</v>
      </c>
      <c r="G14" s="1030">
        <v>0</v>
      </c>
      <c r="H14" s="1030">
        <v>0</v>
      </c>
      <c r="I14" s="1030">
        <v>0</v>
      </c>
      <c r="J14" s="1030">
        <v>0</v>
      </c>
      <c r="K14" s="1030">
        <v>0</v>
      </c>
      <c r="L14" s="1030">
        <v>0</v>
      </c>
      <c r="M14" s="1318"/>
      <c r="N14" s="1318"/>
      <c r="O14" s="1318"/>
      <c r="P14" s="1318"/>
      <c r="Q14" s="1318"/>
      <c r="R14" s="381">
        <v>1800000</v>
      </c>
    </row>
    <row r="15" spans="1:19" ht="11.25" customHeight="1" x14ac:dyDescent="0.25">
      <c r="A15" s="302" t="s">
        <v>1538</v>
      </c>
      <c r="B15" s="280"/>
      <c r="C15" s="1030">
        <v>0</v>
      </c>
      <c r="D15" s="1030">
        <v>0</v>
      </c>
      <c r="E15" s="1030">
        <v>0</v>
      </c>
      <c r="F15" s="1030">
        <v>0</v>
      </c>
      <c r="G15" s="1030">
        <v>0</v>
      </c>
      <c r="H15" s="1030">
        <v>0</v>
      </c>
      <c r="I15" s="1030">
        <v>0</v>
      </c>
      <c r="J15" s="1030">
        <v>0</v>
      </c>
      <c r="K15" s="1030">
        <v>0</v>
      </c>
      <c r="L15" s="1030">
        <v>0</v>
      </c>
      <c r="M15" s="1318"/>
      <c r="N15" s="1318"/>
      <c r="O15" s="1318"/>
      <c r="P15" s="1318"/>
      <c r="Q15" s="1318"/>
      <c r="R15" s="381">
        <v>0</v>
      </c>
    </row>
    <row r="16" spans="1:19" ht="11.25" customHeight="1" x14ac:dyDescent="0.25">
      <c r="A16" s="302" t="s">
        <v>475</v>
      </c>
      <c r="B16" s="280"/>
      <c r="C16" s="1030">
        <v>0</v>
      </c>
      <c r="D16" s="1030">
        <v>19089500</v>
      </c>
      <c r="E16" s="1030">
        <v>0</v>
      </c>
      <c r="F16" s="1030">
        <v>0</v>
      </c>
      <c r="G16" s="1030">
        <v>0</v>
      </c>
      <c r="H16" s="1030">
        <v>0</v>
      </c>
      <c r="I16" s="1030">
        <v>0</v>
      </c>
      <c r="J16" s="1030">
        <v>0</v>
      </c>
      <c r="K16" s="1030">
        <v>0</v>
      </c>
      <c r="L16" s="1030">
        <v>0</v>
      </c>
      <c r="M16" s="1318"/>
      <c r="N16" s="1318"/>
      <c r="O16" s="1318"/>
      <c r="P16" s="1318"/>
      <c r="Q16" s="1318"/>
      <c r="R16" s="381">
        <v>19089500</v>
      </c>
    </row>
    <row r="17" spans="1:18" ht="11.25" customHeight="1" x14ac:dyDescent="0.25">
      <c r="A17" s="302" t="s">
        <v>476</v>
      </c>
      <c r="B17" s="280"/>
      <c r="C17" s="1030">
        <v>0</v>
      </c>
      <c r="D17" s="1030">
        <v>419000</v>
      </c>
      <c r="E17" s="1030">
        <v>0</v>
      </c>
      <c r="F17" s="1030">
        <v>0</v>
      </c>
      <c r="G17" s="1030">
        <v>0</v>
      </c>
      <c r="H17" s="1030">
        <v>0</v>
      </c>
      <c r="I17" s="1030">
        <v>0</v>
      </c>
      <c r="J17" s="1030">
        <v>0</v>
      </c>
      <c r="K17" s="1030">
        <v>0</v>
      </c>
      <c r="L17" s="1030">
        <v>0</v>
      </c>
      <c r="M17" s="1318"/>
      <c r="N17" s="1318"/>
      <c r="O17" s="1318"/>
      <c r="P17" s="1318"/>
      <c r="Q17" s="1318"/>
      <c r="R17" s="381">
        <v>419000</v>
      </c>
    </row>
    <row r="18" spans="1:18" ht="11.25" customHeight="1" x14ac:dyDescent="0.25">
      <c r="A18" s="302" t="s">
        <v>1514</v>
      </c>
      <c r="B18" s="280"/>
      <c r="C18" s="1030">
        <v>12000</v>
      </c>
      <c r="D18" s="1030">
        <v>0</v>
      </c>
      <c r="E18" s="1030">
        <v>0</v>
      </c>
      <c r="F18" s="1030">
        <v>0</v>
      </c>
      <c r="G18" s="1030">
        <v>0</v>
      </c>
      <c r="H18" s="1030">
        <v>0</v>
      </c>
      <c r="I18" s="1030">
        <v>0</v>
      </c>
      <c r="J18" s="1030">
        <v>0</v>
      </c>
      <c r="K18" s="1030">
        <v>0</v>
      </c>
      <c r="L18" s="1030">
        <v>0</v>
      </c>
      <c r="M18" s="1318"/>
      <c r="N18" s="1318"/>
      <c r="O18" s="1318"/>
      <c r="P18" s="1318"/>
      <c r="Q18" s="1318"/>
      <c r="R18" s="381">
        <v>12000</v>
      </c>
    </row>
    <row r="19" spans="1:18" ht="11.25" customHeight="1" x14ac:dyDescent="0.25">
      <c r="A19" s="189" t="s">
        <v>1566</v>
      </c>
      <c r="B19" s="279"/>
      <c r="C19" s="1030">
        <v>80150</v>
      </c>
      <c r="D19" s="1030">
        <v>35600</v>
      </c>
      <c r="E19" s="1030">
        <v>28200</v>
      </c>
      <c r="F19" s="1030">
        <v>37300</v>
      </c>
      <c r="G19" s="1030">
        <v>0</v>
      </c>
      <c r="H19" s="1030">
        <v>56000</v>
      </c>
      <c r="I19" s="1030">
        <v>2000</v>
      </c>
      <c r="J19" s="1030">
        <v>6000</v>
      </c>
      <c r="K19" s="1030">
        <v>2500</v>
      </c>
      <c r="L19" s="1030">
        <v>27000</v>
      </c>
      <c r="M19" s="1318"/>
      <c r="N19" s="1318"/>
      <c r="O19" s="1318"/>
      <c r="P19" s="1318"/>
      <c r="Q19" s="1318"/>
      <c r="R19" s="381">
        <v>274750</v>
      </c>
    </row>
    <row r="20" spans="1:18" ht="11.25" customHeight="1" x14ac:dyDescent="0.25">
      <c r="A20" s="302" t="s">
        <v>35</v>
      </c>
      <c r="B20" s="280"/>
      <c r="C20" s="1030">
        <v>19009000</v>
      </c>
      <c r="D20" s="1030">
        <v>780000</v>
      </c>
      <c r="E20" s="1030">
        <v>0</v>
      </c>
      <c r="F20" s="1030">
        <v>996000</v>
      </c>
      <c r="G20" s="1030">
        <v>0</v>
      </c>
      <c r="H20" s="1030">
        <v>0</v>
      </c>
      <c r="I20" s="1030">
        <v>0</v>
      </c>
      <c r="J20" s="1030">
        <v>0</v>
      </c>
      <c r="K20" s="1030">
        <v>0</v>
      </c>
      <c r="L20" s="1030">
        <v>0</v>
      </c>
      <c r="M20" s="1318"/>
      <c r="N20" s="1318"/>
      <c r="O20" s="1318"/>
      <c r="P20" s="1318"/>
      <c r="Q20" s="1318"/>
      <c r="R20" s="381">
        <v>20785000</v>
      </c>
    </row>
    <row r="21" spans="1:18" ht="11.25" customHeight="1" x14ac:dyDescent="0.25">
      <c r="A21" s="189" t="s">
        <v>477</v>
      </c>
      <c r="B21" s="279"/>
      <c r="C21" s="1030">
        <v>0</v>
      </c>
      <c r="D21" s="1030">
        <v>200000</v>
      </c>
      <c r="E21" s="1030">
        <v>0</v>
      </c>
      <c r="F21" s="1030">
        <v>0</v>
      </c>
      <c r="G21" s="1030">
        <v>0</v>
      </c>
      <c r="H21" s="1030">
        <v>25000</v>
      </c>
      <c r="I21" s="1030">
        <v>0</v>
      </c>
      <c r="J21" s="1030">
        <v>0</v>
      </c>
      <c r="K21" s="1030">
        <v>0</v>
      </c>
      <c r="L21" s="1030">
        <v>0</v>
      </c>
      <c r="M21" s="1318"/>
      <c r="N21" s="1318"/>
      <c r="O21" s="1318"/>
      <c r="P21" s="1318"/>
      <c r="Q21" s="1318"/>
      <c r="R21" s="381">
        <v>225000</v>
      </c>
    </row>
    <row r="22" spans="1:18" ht="11.25" customHeight="1" x14ac:dyDescent="0.25">
      <c r="A22" s="303" t="s">
        <v>1048</v>
      </c>
      <c r="B22" s="279"/>
      <c r="C22" s="259">
        <v>27552461.085644267</v>
      </c>
      <c r="D22" s="259">
        <v>20664100</v>
      </c>
      <c r="E22" s="259">
        <v>10206003.952679999</v>
      </c>
      <c r="F22" s="259">
        <v>1423300</v>
      </c>
      <c r="G22" s="259">
        <v>10000</v>
      </c>
      <c r="H22" s="259">
        <v>87000</v>
      </c>
      <c r="I22" s="259">
        <v>2000</v>
      </c>
      <c r="J22" s="259">
        <v>6000</v>
      </c>
      <c r="K22" s="259">
        <v>7787632.0241599996</v>
      </c>
      <c r="L22" s="259">
        <v>3458423</v>
      </c>
      <c r="M22" s="211">
        <v>0</v>
      </c>
      <c r="N22" s="211">
        <v>0</v>
      </c>
      <c r="O22" s="211">
        <v>0</v>
      </c>
      <c r="P22" s="211">
        <v>0</v>
      </c>
      <c r="Q22" s="211">
        <v>0</v>
      </c>
      <c r="R22" s="382">
        <v>71196920.062484264</v>
      </c>
    </row>
    <row r="23" spans="1:18" ht="5.0999999999999996" customHeight="1" x14ac:dyDescent="0.25">
      <c r="A23" s="199"/>
      <c r="B23" s="279"/>
      <c r="C23" s="205"/>
      <c r="D23" s="205"/>
      <c r="E23" s="205"/>
      <c r="F23" s="205"/>
      <c r="G23" s="205"/>
      <c r="H23" s="205"/>
      <c r="I23" s="205"/>
      <c r="J23" s="205"/>
      <c r="K23" s="205"/>
      <c r="L23" s="205"/>
      <c r="M23" s="201"/>
      <c r="N23" s="201"/>
      <c r="O23" s="201"/>
      <c r="P23" s="201"/>
      <c r="Q23" s="201"/>
      <c r="R23" s="381"/>
    </row>
    <row r="24" spans="1:18" ht="11.25" customHeight="1" x14ac:dyDescent="0.25">
      <c r="A24" s="180" t="s">
        <v>1654</v>
      </c>
      <c r="B24" s="281"/>
      <c r="C24" s="205"/>
      <c r="D24" s="205"/>
      <c r="E24" s="205"/>
      <c r="F24" s="205"/>
      <c r="G24" s="205"/>
      <c r="H24" s="205"/>
      <c r="I24" s="205"/>
      <c r="J24" s="205"/>
      <c r="K24" s="205"/>
      <c r="L24" s="205"/>
      <c r="M24" s="201"/>
      <c r="N24" s="201"/>
      <c r="O24" s="201"/>
      <c r="P24" s="201"/>
      <c r="Q24" s="201"/>
      <c r="R24" s="381"/>
    </row>
    <row r="25" spans="1:18" ht="11.25" customHeight="1" x14ac:dyDescent="0.25">
      <c r="A25" s="302" t="s">
        <v>478</v>
      </c>
      <c r="B25" s="280"/>
      <c r="C25" s="1030">
        <v>6026655.2370523196</v>
      </c>
      <c r="D25" s="1030">
        <v>7993399.4678299986</v>
      </c>
      <c r="E25" s="1030">
        <v>1381308.3616080002</v>
      </c>
      <c r="F25" s="1030">
        <v>1104162.3004220801</v>
      </c>
      <c r="G25" s="1030">
        <v>0</v>
      </c>
      <c r="H25" s="1030">
        <v>7755038.1110640001</v>
      </c>
      <c r="I25" s="1030">
        <v>0</v>
      </c>
      <c r="J25" s="1030">
        <v>0</v>
      </c>
      <c r="K25" s="1030">
        <v>3336190.9537907206</v>
      </c>
      <c r="L25" s="1030">
        <v>1008766.527392</v>
      </c>
      <c r="M25" s="1318"/>
      <c r="N25" s="1318"/>
      <c r="O25" s="1318"/>
      <c r="P25" s="1318"/>
      <c r="Q25" s="1318"/>
      <c r="R25" s="381">
        <v>28605520.959159117</v>
      </c>
    </row>
    <row r="26" spans="1:18" ht="11.25" customHeight="1" x14ac:dyDescent="0.25">
      <c r="A26" s="302" t="s">
        <v>532</v>
      </c>
      <c r="B26" s="280"/>
      <c r="C26" s="1030">
        <v>0</v>
      </c>
      <c r="D26" s="1030">
        <v>0</v>
      </c>
      <c r="E26" s="1030">
        <v>0</v>
      </c>
      <c r="F26" s="1030">
        <v>2030463.0288000004</v>
      </c>
      <c r="G26" s="1030">
        <v>0</v>
      </c>
      <c r="H26" s="1030">
        <v>0</v>
      </c>
      <c r="I26" s="1030">
        <v>0</v>
      </c>
      <c r="J26" s="1030">
        <v>0</v>
      </c>
      <c r="K26" s="1030">
        <v>0</v>
      </c>
      <c r="L26" s="1030">
        <v>0</v>
      </c>
      <c r="M26" s="1318"/>
      <c r="N26" s="1318"/>
      <c r="O26" s="1318"/>
      <c r="P26" s="1318"/>
      <c r="Q26" s="1318"/>
      <c r="R26" s="381">
        <v>2030463.0288000004</v>
      </c>
    </row>
    <row r="27" spans="1:18" ht="11.25" customHeight="1" x14ac:dyDescent="0.25">
      <c r="A27" s="302" t="s">
        <v>1473</v>
      </c>
      <c r="B27" s="280"/>
      <c r="C27" s="1030">
        <v>3174054.46</v>
      </c>
      <c r="D27" s="1030">
        <v>0</v>
      </c>
      <c r="E27" s="1030">
        <v>0</v>
      </c>
      <c r="F27" s="1030">
        <v>0</v>
      </c>
      <c r="G27" s="1030">
        <v>0</v>
      </c>
      <c r="H27" s="1030">
        <v>0</v>
      </c>
      <c r="I27" s="1030">
        <v>0</v>
      </c>
      <c r="J27" s="1030">
        <v>0</v>
      </c>
      <c r="K27" s="1030">
        <v>0</v>
      </c>
      <c r="L27" s="1030">
        <v>0</v>
      </c>
      <c r="M27" s="1318"/>
      <c r="N27" s="1318"/>
      <c r="O27" s="1318"/>
      <c r="P27" s="1318"/>
      <c r="Q27" s="1318"/>
      <c r="R27" s="381">
        <v>3174054.46</v>
      </c>
    </row>
    <row r="28" spans="1:18" ht="11.25" customHeight="1" x14ac:dyDescent="0.25">
      <c r="A28" s="302" t="s">
        <v>1503</v>
      </c>
      <c r="B28" s="280"/>
      <c r="C28" s="1030">
        <v>1000</v>
      </c>
      <c r="D28" s="1030">
        <v>639405.70000000007</v>
      </c>
      <c r="E28" s="1030">
        <v>627286.80000000005</v>
      </c>
      <c r="F28" s="1030">
        <v>22836.84</v>
      </c>
      <c r="G28" s="1030">
        <v>0</v>
      </c>
      <c r="H28" s="1030">
        <v>3457336.2800000003</v>
      </c>
      <c r="I28" s="1030">
        <v>0</v>
      </c>
      <c r="J28" s="1030">
        <v>0</v>
      </c>
      <c r="K28" s="1030">
        <v>50352.98</v>
      </c>
      <c r="L28" s="1030">
        <v>925749.94000000006</v>
      </c>
      <c r="M28" s="1318"/>
      <c r="N28" s="1318"/>
      <c r="O28" s="1318"/>
      <c r="P28" s="1318"/>
      <c r="Q28" s="1318"/>
      <c r="R28" s="381">
        <v>5723968.540000001</v>
      </c>
    </row>
    <row r="29" spans="1:18" ht="11.25" customHeight="1" x14ac:dyDescent="0.25">
      <c r="A29" s="302" t="s">
        <v>1565</v>
      </c>
      <c r="B29" s="280"/>
      <c r="C29" s="1030">
        <v>32000</v>
      </c>
      <c r="D29" s="1030">
        <v>330000</v>
      </c>
      <c r="E29" s="1030">
        <v>0</v>
      </c>
      <c r="F29" s="1030">
        <v>0</v>
      </c>
      <c r="G29" s="1030">
        <v>0</v>
      </c>
      <c r="H29" s="1030">
        <v>0</v>
      </c>
      <c r="I29" s="1030">
        <v>0</v>
      </c>
      <c r="J29" s="1030">
        <v>0</v>
      </c>
      <c r="K29" s="1030">
        <v>288360</v>
      </c>
      <c r="L29" s="1030">
        <v>0</v>
      </c>
      <c r="M29" s="1318"/>
      <c r="N29" s="1318"/>
      <c r="O29" s="1318"/>
      <c r="P29" s="1318"/>
      <c r="Q29" s="1318"/>
      <c r="R29" s="381">
        <v>650360</v>
      </c>
    </row>
    <row r="30" spans="1:18" ht="11.25" customHeight="1" x14ac:dyDescent="0.25">
      <c r="A30" s="302" t="s">
        <v>480</v>
      </c>
      <c r="B30" s="280"/>
      <c r="C30" s="1030">
        <v>0</v>
      </c>
      <c r="D30" s="1030">
        <v>0</v>
      </c>
      <c r="E30" s="1030">
        <v>8834005</v>
      </c>
      <c r="F30" s="1030">
        <v>0</v>
      </c>
      <c r="G30" s="1030">
        <v>0</v>
      </c>
      <c r="H30" s="1030">
        <v>0</v>
      </c>
      <c r="I30" s="1030">
        <v>0</v>
      </c>
      <c r="J30" s="1030">
        <v>0</v>
      </c>
      <c r="K30" s="1030">
        <v>0</v>
      </c>
      <c r="L30" s="1030">
        <v>483465</v>
      </c>
      <c r="M30" s="1318"/>
      <c r="N30" s="1318"/>
      <c r="O30" s="1318"/>
      <c r="P30" s="1318"/>
      <c r="Q30" s="1318"/>
      <c r="R30" s="381">
        <v>9317470</v>
      </c>
    </row>
    <row r="31" spans="1:18" ht="11.25" customHeight="1" x14ac:dyDescent="0.25">
      <c r="A31" s="302" t="s">
        <v>1533</v>
      </c>
      <c r="B31" s="280"/>
      <c r="C31" s="1030">
        <v>0</v>
      </c>
      <c r="D31" s="1030">
        <v>0</v>
      </c>
      <c r="E31" s="1030">
        <v>0</v>
      </c>
      <c r="F31" s="1030">
        <v>0</v>
      </c>
      <c r="G31" s="1030">
        <v>0</v>
      </c>
      <c r="H31" s="1030">
        <v>0</v>
      </c>
      <c r="I31" s="1030">
        <v>0</v>
      </c>
      <c r="J31" s="1030">
        <v>0</v>
      </c>
      <c r="K31" s="1030">
        <v>0</v>
      </c>
      <c r="L31" s="1030">
        <v>0</v>
      </c>
      <c r="M31" s="1318"/>
      <c r="N31" s="1318"/>
      <c r="O31" s="1318"/>
      <c r="P31" s="1318"/>
      <c r="Q31" s="1318"/>
      <c r="R31" s="381">
        <v>0</v>
      </c>
    </row>
    <row r="32" spans="1:18" ht="11.25" customHeight="1" x14ac:dyDescent="0.25">
      <c r="A32" s="302" t="s">
        <v>481</v>
      </c>
      <c r="B32" s="280"/>
      <c r="C32" s="1030">
        <v>0</v>
      </c>
      <c r="D32" s="1030">
        <v>10710000</v>
      </c>
      <c r="E32" s="1030">
        <v>0</v>
      </c>
      <c r="F32" s="1030">
        <v>0</v>
      </c>
      <c r="G32" s="1030">
        <v>0</v>
      </c>
      <c r="H32" s="1030">
        <v>0</v>
      </c>
      <c r="I32" s="1030">
        <v>0</v>
      </c>
      <c r="J32" s="1030">
        <v>0</v>
      </c>
      <c r="K32" s="1030">
        <v>0</v>
      </c>
      <c r="L32" s="1030">
        <v>0</v>
      </c>
      <c r="M32" s="1318"/>
      <c r="N32" s="1318"/>
      <c r="O32" s="1318"/>
      <c r="P32" s="1318"/>
      <c r="Q32" s="1318"/>
      <c r="R32" s="381">
        <v>10710000</v>
      </c>
    </row>
    <row r="33" spans="1:21" ht="11.25" customHeight="1" x14ac:dyDescent="0.25">
      <c r="A33" s="302" t="s">
        <v>789</v>
      </c>
      <c r="B33" s="280"/>
      <c r="C33" s="1030">
        <v>159000</v>
      </c>
      <c r="D33" s="1030">
        <v>0</v>
      </c>
      <c r="E33" s="1030">
        <v>885055.50719999999</v>
      </c>
      <c r="F33" s="1030">
        <v>0</v>
      </c>
      <c r="G33" s="1030">
        <v>0</v>
      </c>
      <c r="H33" s="1030">
        <v>0</v>
      </c>
      <c r="I33" s="1030">
        <v>0</v>
      </c>
      <c r="J33" s="1030">
        <v>0</v>
      </c>
      <c r="K33" s="1030">
        <v>2932819.2</v>
      </c>
      <c r="L33" s="1030">
        <v>1008950.976</v>
      </c>
      <c r="M33" s="1318"/>
      <c r="N33" s="1318"/>
      <c r="O33" s="1318"/>
      <c r="P33" s="1318"/>
      <c r="Q33" s="1318"/>
      <c r="R33" s="381">
        <v>4985825.6831999999</v>
      </c>
    </row>
    <row r="34" spans="1:21" ht="11.25" customHeight="1" x14ac:dyDescent="0.25">
      <c r="A34" s="302" t="s">
        <v>960</v>
      </c>
      <c r="B34" s="280"/>
      <c r="C34" s="1030">
        <v>6961764.5600000005</v>
      </c>
      <c r="D34" s="1030">
        <v>3014250</v>
      </c>
      <c r="E34" s="1030">
        <v>2368355</v>
      </c>
      <c r="F34" s="1030">
        <v>4120194.853172</v>
      </c>
      <c r="G34" s="1030">
        <v>0</v>
      </c>
      <c r="H34" s="1030">
        <v>1756400</v>
      </c>
      <c r="I34" s="1030">
        <v>335700</v>
      </c>
      <c r="J34" s="1030">
        <v>148410</v>
      </c>
      <c r="K34" s="1030">
        <v>1432400</v>
      </c>
      <c r="L34" s="1030">
        <v>955650</v>
      </c>
      <c r="M34" s="1318"/>
      <c r="N34" s="1318"/>
      <c r="O34" s="1318"/>
      <c r="P34" s="1318"/>
      <c r="Q34" s="1318"/>
      <c r="R34" s="381">
        <v>21093124.413171999</v>
      </c>
    </row>
    <row r="35" spans="1:21" ht="11.25" customHeight="1" x14ac:dyDescent="0.25">
      <c r="A35" s="302" t="s">
        <v>406</v>
      </c>
      <c r="B35" s="280"/>
      <c r="C35" s="1030">
        <v>0</v>
      </c>
      <c r="D35" s="1030">
        <v>0</v>
      </c>
      <c r="E35" s="1030">
        <v>3000</v>
      </c>
      <c r="F35" s="1030">
        <v>0</v>
      </c>
      <c r="G35" s="1030">
        <v>0</v>
      </c>
      <c r="H35" s="1030">
        <v>2000</v>
      </c>
      <c r="I35" s="1030">
        <v>0</v>
      </c>
      <c r="J35" s="1030">
        <v>0</v>
      </c>
      <c r="K35" s="1030">
        <v>2000</v>
      </c>
      <c r="L35" s="1030">
        <v>0</v>
      </c>
      <c r="M35" s="1318"/>
      <c r="N35" s="1318"/>
      <c r="O35" s="1318"/>
      <c r="P35" s="1318"/>
      <c r="Q35" s="1318"/>
      <c r="R35" s="381">
        <v>7000</v>
      </c>
    </row>
    <row r="36" spans="1:21" ht="11.25" customHeight="1" x14ac:dyDescent="0.25">
      <c r="A36" s="303" t="s">
        <v>1655</v>
      </c>
      <c r="B36" s="279"/>
      <c r="C36" s="259">
        <v>16354474.257052319</v>
      </c>
      <c r="D36" s="259">
        <v>22687055.167829998</v>
      </c>
      <c r="E36" s="259">
        <v>14099010.668808</v>
      </c>
      <c r="F36" s="259">
        <v>7277657.0223940797</v>
      </c>
      <c r="G36" s="259">
        <v>0</v>
      </c>
      <c r="H36" s="259">
        <v>12970774.391063999</v>
      </c>
      <c r="I36" s="259">
        <v>335700</v>
      </c>
      <c r="J36" s="259">
        <v>148410</v>
      </c>
      <c r="K36" s="259">
        <v>8042123.1337907203</v>
      </c>
      <c r="L36" s="259">
        <v>4382582.4433920002</v>
      </c>
      <c r="M36" s="211">
        <v>0</v>
      </c>
      <c r="N36" s="211">
        <v>0</v>
      </c>
      <c r="O36" s="211">
        <v>0</v>
      </c>
      <c r="P36" s="211">
        <v>0</v>
      </c>
      <c r="Q36" s="211">
        <v>0</v>
      </c>
      <c r="R36" s="382">
        <v>86297787.084331125</v>
      </c>
    </row>
    <row r="37" spans="1:21" ht="5.0999999999999996" customHeight="1" x14ac:dyDescent="0.25">
      <c r="A37" s="199"/>
      <c r="B37" s="279"/>
      <c r="C37" s="357"/>
      <c r="D37" s="357"/>
      <c r="E37" s="357"/>
      <c r="F37" s="357"/>
      <c r="G37" s="357"/>
      <c r="H37" s="357"/>
      <c r="I37" s="357"/>
      <c r="J37" s="357"/>
      <c r="K37" s="357"/>
      <c r="L37" s="357"/>
      <c r="M37" s="216"/>
      <c r="N37" s="216"/>
      <c r="O37" s="216"/>
      <c r="P37" s="216"/>
      <c r="Q37" s="216"/>
      <c r="R37" s="381"/>
    </row>
    <row r="38" spans="1:21" ht="11.25" customHeight="1" x14ac:dyDescent="0.25">
      <c r="A38" s="303" t="s">
        <v>1725</v>
      </c>
      <c r="B38" s="279"/>
      <c r="C38" s="259">
        <v>11197986.828591948</v>
      </c>
      <c r="D38" s="259">
        <v>-2022955.1678299978</v>
      </c>
      <c r="E38" s="259">
        <v>-3893006.716128001</v>
      </c>
      <c r="F38" s="259">
        <v>-5854357.0223940797</v>
      </c>
      <c r="G38" s="259">
        <v>10000</v>
      </c>
      <c r="H38" s="259">
        <v>-12883774.391063999</v>
      </c>
      <c r="I38" s="259">
        <v>-333700</v>
      </c>
      <c r="J38" s="259">
        <v>-142410</v>
      </c>
      <c r="K38" s="259">
        <v>-254491.10963072069</v>
      </c>
      <c r="L38" s="259">
        <v>-924159.44339200016</v>
      </c>
      <c r="M38" s="211">
        <v>0</v>
      </c>
      <c r="N38" s="211">
        <v>0</v>
      </c>
      <c r="O38" s="211">
        <v>0</v>
      </c>
      <c r="P38" s="211">
        <v>0</v>
      </c>
      <c r="Q38" s="211">
        <v>0</v>
      </c>
      <c r="R38" s="382">
        <v>-15100867.021846861</v>
      </c>
    </row>
    <row r="39" spans="1:21" ht="11.25" customHeight="1" x14ac:dyDescent="0.25">
      <c r="A39" s="189" t="s">
        <v>1352</v>
      </c>
      <c r="B39" s="279"/>
      <c r="C39" s="2119">
        <v>0</v>
      </c>
      <c r="D39" s="2119">
        <v>0</v>
      </c>
      <c r="E39" s="2119">
        <v>0</v>
      </c>
      <c r="F39" s="2119">
        <v>0</v>
      </c>
      <c r="G39" s="2119">
        <v>0</v>
      </c>
      <c r="H39" s="2119">
        <v>11510000</v>
      </c>
      <c r="I39" s="2119">
        <v>0</v>
      </c>
      <c r="J39" s="2119">
        <v>0</v>
      </c>
      <c r="K39" s="2119">
        <v>0</v>
      </c>
      <c r="L39" s="2119">
        <v>0</v>
      </c>
      <c r="M39" s="1337"/>
      <c r="N39" s="1337"/>
      <c r="O39" s="1337"/>
      <c r="P39" s="1337"/>
      <c r="Q39" s="1337"/>
      <c r="R39" s="381">
        <v>11510000</v>
      </c>
    </row>
    <row r="40" spans="1:21" x14ac:dyDescent="0.25">
      <c r="A40" s="383" t="s">
        <v>819</v>
      </c>
      <c r="B40" s="279"/>
      <c r="C40" s="1030">
        <v>0</v>
      </c>
      <c r="D40" s="1030">
        <v>0</v>
      </c>
      <c r="E40" s="1030">
        <v>0</v>
      </c>
      <c r="F40" s="1030">
        <v>0</v>
      </c>
      <c r="G40" s="1030">
        <v>0</v>
      </c>
      <c r="H40" s="1030">
        <v>0</v>
      </c>
      <c r="I40" s="1030">
        <v>0</v>
      </c>
      <c r="J40" s="1030">
        <v>0</v>
      </c>
      <c r="K40" s="1030">
        <v>0</v>
      </c>
      <c r="L40" s="1030">
        <v>0</v>
      </c>
      <c r="M40" s="1318"/>
      <c r="N40" s="1318"/>
      <c r="O40" s="1318"/>
      <c r="P40" s="1318"/>
      <c r="Q40" s="1318"/>
      <c r="R40" s="381">
        <v>0</v>
      </c>
    </row>
    <row r="41" spans="1:21" ht="11.25" customHeight="1" x14ac:dyDescent="0.25">
      <c r="A41" s="189" t="s">
        <v>39</v>
      </c>
      <c r="B41" s="279"/>
      <c r="C41" s="2119">
        <v>0</v>
      </c>
      <c r="D41" s="2119">
        <v>0</v>
      </c>
      <c r="E41" s="2119">
        <v>0</v>
      </c>
      <c r="F41" s="2119">
        <v>0</v>
      </c>
      <c r="G41" s="2119">
        <v>0</v>
      </c>
      <c r="H41" s="2119">
        <v>0</v>
      </c>
      <c r="I41" s="2119">
        <v>0</v>
      </c>
      <c r="J41" s="2119">
        <v>0</v>
      </c>
      <c r="K41" s="2119">
        <v>0</v>
      </c>
      <c r="L41" s="2119">
        <v>0</v>
      </c>
      <c r="M41" s="1337"/>
      <c r="N41" s="1337"/>
      <c r="O41" s="1337"/>
      <c r="P41" s="1337"/>
      <c r="Q41" s="1337"/>
      <c r="R41" s="381">
        <v>0</v>
      </c>
    </row>
    <row r="42" spans="1:21" ht="25.5" x14ac:dyDescent="0.25">
      <c r="A42" s="384" t="s">
        <v>438</v>
      </c>
      <c r="B42" s="287"/>
      <c r="C42" s="2224">
        <v>11197986.828591948</v>
      </c>
      <c r="D42" s="2224">
        <v>-2022955.1678299978</v>
      </c>
      <c r="E42" s="2224">
        <v>-3893006.716128001</v>
      </c>
      <c r="F42" s="2224">
        <v>-5854357.0223940797</v>
      </c>
      <c r="G42" s="2224">
        <v>10000</v>
      </c>
      <c r="H42" s="2224">
        <v>-1373774.3910639994</v>
      </c>
      <c r="I42" s="2224">
        <v>-333700</v>
      </c>
      <c r="J42" s="2224">
        <v>-142410</v>
      </c>
      <c r="K42" s="2224">
        <v>-254491.10963072069</v>
      </c>
      <c r="L42" s="2224">
        <v>-924159.44339200016</v>
      </c>
      <c r="M42" s="1021">
        <v>0</v>
      </c>
      <c r="N42" s="1021">
        <v>0</v>
      </c>
      <c r="O42" s="1021">
        <v>0</v>
      </c>
      <c r="P42" s="1021">
        <v>0</v>
      </c>
      <c r="Q42" s="1021">
        <v>0</v>
      </c>
      <c r="R42" s="1022">
        <v>-3590867.0218468606</v>
      </c>
    </row>
    <row r="43" spans="1:21" s="625" customFormat="1" x14ac:dyDescent="0.25">
      <c r="A43" s="995" t="s">
        <v>986</v>
      </c>
      <c r="B43" s="837"/>
      <c r="C43" s="839"/>
      <c r="D43" s="839"/>
      <c r="E43" s="839"/>
      <c r="F43" s="839"/>
      <c r="G43" s="839"/>
      <c r="H43" s="839"/>
      <c r="I43" s="839"/>
      <c r="J43" s="839"/>
      <c r="K43" s="839"/>
      <c r="L43" s="839"/>
      <c r="M43" s="841"/>
      <c r="N43" s="841"/>
      <c r="O43" s="841"/>
      <c r="P43" s="841"/>
      <c r="Q43" s="841"/>
      <c r="R43" s="841"/>
    </row>
    <row r="44" spans="1:21" s="625" customFormat="1" ht="11.25" customHeight="1" x14ac:dyDescent="0.25">
      <c r="A44" s="965" t="s">
        <v>1701</v>
      </c>
      <c r="B44" s="837"/>
      <c r="C44" s="839"/>
      <c r="D44" s="2083"/>
      <c r="E44" s="839"/>
      <c r="F44" s="839"/>
      <c r="G44" s="839"/>
      <c r="H44" s="839"/>
      <c r="I44" s="839"/>
      <c r="J44" s="839"/>
      <c r="K44" s="839"/>
      <c r="L44" s="839"/>
      <c r="M44" s="841"/>
      <c r="N44" s="841"/>
      <c r="O44" s="841"/>
      <c r="P44" s="841"/>
      <c r="Q44" s="841"/>
      <c r="R44" s="841"/>
    </row>
    <row r="45" spans="1:21" ht="11.25" customHeight="1" x14ac:dyDescent="0.25">
      <c r="A45" s="275" t="s">
        <v>296</v>
      </c>
      <c r="B45" s="238"/>
      <c r="C45" s="2225"/>
      <c r="D45" s="2225"/>
      <c r="E45" s="2225"/>
      <c r="F45" s="2225"/>
      <c r="G45" s="2225"/>
      <c r="H45" s="2225"/>
      <c r="I45" s="2225"/>
      <c r="J45" s="2225"/>
      <c r="K45" s="2225"/>
      <c r="L45" s="2225"/>
      <c r="M45" s="240"/>
      <c r="N45" s="240"/>
      <c r="O45" s="240"/>
      <c r="P45" s="240"/>
      <c r="Q45" s="240"/>
      <c r="R45" s="790">
        <v>0</v>
      </c>
    </row>
    <row r="46" spans="1:21" ht="11.25" customHeight="1" x14ac:dyDescent="0.25">
      <c r="A46" s="239"/>
      <c r="B46" s="238"/>
      <c r="C46" s="2225"/>
      <c r="D46" s="2225"/>
      <c r="E46" s="2225"/>
      <c r="F46" s="2225"/>
      <c r="G46" s="2225"/>
      <c r="H46" s="2225"/>
      <c r="I46" s="2225"/>
      <c r="J46" s="2225"/>
      <c r="K46" s="2225"/>
      <c r="L46" s="2225"/>
      <c r="M46" s="240"/>
      <c r="N46" s="240"/>
      <c r="O46" s="240"/>
      <c r="P46" s="240"/>
      <c r="Q46" s="240"/>
      <c r="R46" s="240"/>
    </row>
    <row r="47" spans="1:21" ht="11.25" customHeight="1" x14ac:dyDescent="0.25">
      <c r="B47" s="148"/>
      <c r="U47" s="385"/>
    </row>
    <row r="48" spans="1:21" ht="11.25" customHeight="1" x14ac:dyDescent="0.25">
      <c r="B48" s="148"/>
      <c r="G48" s="331"/>
      <c r="H48" s="331"/>
      <c r="I48" s="331"/>
      <c r="J48" s="331"/>
      <c r="K48" s="331"/>
      <c r="L48" s="331"/>
      <c r="M48" s="290"/>
      <c r="N48" s="290"/>
      <c r="O48" s="290"/>
      <c r="P48" s="290"/>
      <c r="Q48" s="290"/>
      <c r="R48" s="290"/>
    </row>
    <row r="49" spans="2:21" ht="11.25" customHeight="1" x14ac:dyDescent="0.25">
      <c r="B49" s="148"/>
      <c r="G49" s="331"/>
      <c r="H49" s="331"/>
      <c r="I49" s="331"/>
      <c r="J49" s="331"/>
      <c r="K49" s="331"/>
      <c r="L49" s="331"/>
      <c r="M49" s="290"/>
      <c r="N49" s="290"/>
      <c r="O49" s="290"/>
      <c r="P49" s="290"/>
      <c r="Q49" s="290"/>
      <c r="R49" s="290"/>
    </row>
    <row r="50" spans="2:21" ht="11.25" customHeight="1" x14ac:dyDescent="0.25">
      <c r="B50" s="148"/>
      <c r="G50" s="331"/>
      <c r="H50" s="331"/>
      <c r="I50" s="331"/>
      <c r="J50" s="331"/>
      <c r="K50" s="331"/>
      <c r="L50" s="331"/>
      <c r="M50" s="290"/>
      <c r="N50" s="290"/>
      <c r="O50" s="290"/>
      <c r="P50" s="290"/>
      <c r="Q50" s="290"/>
      <c r="R50" s="290"/>
    </row>
    <row r="51" spans="2:21" ht="11.25" customHeight="1" x14ac:dyDescent="0.25">
      <c r="B51" s="148"/>
      <c r="U51" s="291"/>
    </row>
    <row r="52" spans="2:21" ht="11.25" customHeight="1" x14ac:dyDescent="0.25">
      <c r="B52" s="148"/>
      <c r="U52" s="291"/>
    </row>
    <row r="53" spans="2:21" ht="11.25" customHeight="1" x14ac:dyDescent="0.25">
      <c r="B53" s="148"/>
      <c r="U53" s="291"/>
    </row>
    <row r="54" spans="2:21" ht="11.25" customHeight="1" x14ac:dyDescent="0.25">
      <c r="B54" s="148"/>
    </row>
    <row r="55" spans="2:21" ht="11.25" customHeight="1" x14ac:dyDescent="0.25">
      <c r="B55" s="148"/>
    </row>
    <row r="56" spans="2:21" ht="11.25" customHeight="1" x14ac:dyDescent="0.25">
      <c r="B56" s="148"/>
    </row>
    <row r="57" spans="2:21" ht="11.25" customHeight="1" x14ac:dyDescent="0.25">
      <c r="B57" s="148"/>
    </row>
    <row r="58" spans="2:21" ht="11.25" customHeight="1" x14ac:dyDescent="0.25">
      <c r="B58" s="148"/>
    </row>
    <row r="59" spans="2:21" ht="11.25" customHeight="1" x14ac:dyDescent="0.25">
      <c r="B59" s="148"/>
    </row>
    <row r="60" spans="2:21" ht="11.25" customHeight="1" x14ac:dyDescent="0.25">
      <c r="B60" s="148"/>
    </row>
    <row r="61" spans="2:21" ht="11.25" customHeight="1" x14ac:dyDescent="0.25">
      <c r="B61" s="148"/>
    </row>
    <row r="62" spans="2:21" ht="11.25" customHeight="1" x14ac:dyDescent="0.25">
      <c r="B62" s="148"/>
    </row>
    <row r="63" spans="2:21" ht="11.25" customHeight="1" x14ac:dyDescent="0.25">
      <c r="B63" s="148"/>
    </row>
    <row r="64" spans="2:21" ht="11.25" customHeight="1" x14ac:dyDescent="0.25">
      <c r="B64" s="148"/>
    </row>
    <row r="65" spans="2:2" ht="11.25" customHeight="1" x14ac:dyDescent="0.25">
      <c r="B65" s="148"/>
    </row>
    <row r="66" spans="2:2" ht="11.25" customHeight="1" x14ac:dyDescent="0.25">
      <c r="B66" s="148"/>
    </row>
    <row r="67" spans="2:2" ht="11.25" customHeight="1" x14ac:dyDescent="0.25">
      <c r="B67" s="148"/>
    </row>
    <row r="68" spans="2:2" ht="11.25" customHeight="1" x14ac:dyDescent="0.25">
      <c r="B68" s="148"/>
    </row>
    <row r="69" spans="2:2" ht="11.25" customHeight="1" x14ac:dyDescent="0.25">
      <c r="B69" s="148"/>
    </row>
    <row r="70" spans="2:2" ht="11.25" customHeight="1" x14ac:dyDescent="0.25">
      <c r="B70" s="148"/>
    </row>
    <row r="71" spans="2:2" ht="11.25" customHeight="1" x14ac:dyDescent="0.25">
      <c r="B71" s="148"/>
    </row>
    <row r="72" spans="2:2" ht="11.25" customHeight="1" x14ac:dyDescent="0.25">
      <c r="B72" s="148"/>
    </row>
    <row r="73" spans="2:2" ht="11.25" customHeight="1" x14ac:dyDescent="0.25">
      <c r="B73" s="148"/>
    </row>
    <row r="74" spans="2:2" ht="11.25" customHeight="1" x14ac:dyDescent="0.25">
      <c r="B74" s="148"/>
    </row>
    <row r="75" spans="2:2" ht="11.25" customHeight="1" x14ac:dyDescent="0.25"/>
    <row r="76" spans="2:2" ht="11.25" customHeight="1" x14ac:dyDescent="0.25"/>
    <row r="77" spans="2:2" ht="11.25" customHeight="1" x14ac:dyDescent="0.25"/>
    <row r="78" spans="2:2" ht="11.25" customHeight="1" x14ac:dyDescent="0.25"/>
    <row r="79" spans="2:2" ht="11.25" customHeight="1" x14ac:dyDescent="0.25"/>
    <row r="80" spans="2:2" ht="11.25" customHeight="1" x14ac:dyDescent="0.25"/>
    <row r="81" ht="11.25" customHeight="1" x14ac:dyDescent="0.25"/>
    <row r="82" ht="11.25" customHeight="1" x14ac:dyDescent="0.25"/>
    <row r="83" ht="11.25" customHeight="1" x14ac:dyDescent="0.25"/>
  </sheetData>
  <mergeCells count="16">
    <mergeCell ref="Q2:Q3"/>
    <mergeCell ref="R2:R3"/>
    <mergeCell ref="I2:I3"/>
    <mergeCell ref="J2:J3"/>
    <mergeCell ref="K2:K3"/>
    <mergeCell ref="L2:L3"/>
    <mergeCell ref="M2:M3"/>
    <mergeCell ref="N2:N3"/>
    <mergeCell ref="O2:O3"/>
    <mergeCell ref="P2:P3"/>
    <mergeCell ref="G2:G3"/>
    <mergeCell ref="H2:H3"/>
    <mergeCell ref="C2:C3"/>
    <mergeCell ref="D2:D3"/>
    <mergeCell ref="E2:E3"/>
    <mergeCell ref="F2:F3"/>
  </mergeCells>
  <phoneticPr fontId="4" type="noConversion"/>
  <pageMargins left="0.75" right="0.75" top="1" bottom="1" header="0.5" footer="0.5"/>
  <pageSetup scale="67"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42"/>
    <pageSetUpPr fitToPage="1"/>
  </sheetPr>
  <dimension ref="A1:L92"/>
  <sheetViews>
    <sheetView showGridLines="0" tabSelected="1" workbookViewId="0">
      <pane xSplit="2" ySplit="4" topLeftCell="C8"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8" width="9.28515625" style="338" customWidth="1"/>
    <col min="9" max="9" width="9.140625" style="338" customWidth="1"/>
    <col min="10"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s="178" customFormat="1" x14ac:dyDescent="0.2">
      <c r="A1" s="146" t="s">
        <v>2512</v>
      </c>
      <c r="B1" s="146"/>
      <c r="C1" s="1997"/>
      <c r="D1" s="1997"/>
      <c r="E1" s="1997"/>
      <c r="F1" s="1997"/>
      <c r="G1" s="1997"/>
      <c r="H1" s="1997"/>
      <c r="I1" s="1997"/>
      <c r="J1" s="1997"/>
      <c r="K1" s="1997"/>
      <c r="L1" s="1997"/>
    </row>
    <row r="2" spans="1:12" ht="28.5" customHeight="1" x14ac:dyDescent="0.25">
      <c r="A2" s="2727" t="s">
        <v>775</v>
      </c>
      <c r="B2" s="2729" t="s">
        <v>429</v>
      </c>
      <c r="C2" s="149" t="s">
        <v>2478</v>
      </c>
      <c r="D2" s="149" t="s">
        <v>2479</v>
      </c>
      <c r="E2" s="1996" t="s">
        <v>2480</v>
      </c>
      <c r="F2" s="2700" t="s">
        <v>2481</v>
      </c>
      <c r="G2" s="2701"/>
      <c r="H2" s="2701"/>
      <c r="I2" s="2701"/>
      <c r="J2" s="2697" t="s">
        <v>2482</v>
      </c>
      <c r="K2" s="2698"/>
      <c r="L2" s="2699"/>
    </row>
    <row r="3" spans="1:12" ht="33.75" customHeight="1" x14ac:dyDescent="0.25">
      <c r="A3" s="2728"/>
      <c r="B3" s="2730"/>
      <c r="C3" s="2017" t="s">
        <v>1065</v>
      </c>
      <c r="D3" s="2017" t="s">
        <v>1065</v>
      </c>
      <c r="E3" s="152" t="s">
        <v>1065</v>
      </c>
      <c r="F3" s="150" t="s">
        <v>467</v>
      </c>
      <c r="G3" s="2017" t="s">
        <v>1807</v>
      </c>
      <c r="H3" s="152" t="s">
        <v>1808</v>
      </c>
      <c r="I3" s="2014" t="s">
        <v>672</v>
      </c>
      <c r="J3" s="150" t="s">
        <v>2483</v>
      </c>
      <c r="K3" s="2017" t="s">
        <v>2484</v>
      </c>
      <c r="L3" s="152" t="s">
        <v>2485</v>
      </c>
    </row>
    <row r="4" spans="1:12" ht="11.25" customHeight="1" x14ac:dyDescent="0.25">
      <c r="A4" s="179" t="s">
        <v>667</v>
      </c>
      <c r="B4" s="277"/>
      <c r="C4" s="2011"/>
      <c r="D4" s="2011"/>
      <c r="E4" s="155"/>
      <c r="F4" s="154"/>
      <c r="G4" s="2011"/>
      <c r="H4" s="155"/>
      <c r="I4" s="156"/>
      <c r="J4" s="154"/>
      <c r="K4" s="2011"/>
      <c r="L4" s="155"/>
    </row>
    <row r="5" spans="1:12" ht="11.25" customHeight="1" x14ac:dyDescent="0.25">
      <c r="A5" s="303" t="s">
        <v>1023</v>
      </c>
      <c r="B5" s="278"/>
      <c r="C5" s="2226"/>
      <c r="D5" s="2226"/>
      <c r="E5" s="256"/>
      <c r="F5" s="246"/>
      <c r="G5" s="2226"/>
      <c r="H5" s="256"/>
      <c r="I5" s="208"/>
      <c r="J5" s="319"/>
      <c r="K5" s="2226"/>
      <c r="L5" s="256"/>
    </row>
    <row r="6" spans="1:12" ht="11.25" customHeight="1" x14ac:dyDescent="0.25">
      <c r="A6" s="180" t="s">
        <v>1527</v>
      </c>
      <c r="B6" s="279"/>
      <c r="C6" s="205"/>
      <c r="D6" s="205"/>
      <c r="E6" s="256"/>
      <c r="F6" s="246"/>
      <c r="G6" s="205"/>
      <c r="H6" s="256"/>
      <c r="I6" s="208"/>
      <c r="J6" s="209"/>
      <c r="K6" s="205"/>
      <c r="L6" s="256"/>
    </row>
    <row r="7" spans="1:12" ht="11.25" customHeight="1" x14ac:dyDescent="0.25">
      <c r="A7" s="189" t="s">
        <v>821</v>
      </c>
      <c r="B7" s="279"/>
      <c r="C7" s="1030">
        <v>354737.14999999991</v>
      </c>
      <c r="D7" s="1030">
        <v>4219397</v>
      </c>
      <c r="E7" s="1065">
        <v>4485612</v>
      </c>
      <c r="F7" s="1066">
        <v>7822380.5500000045</v>
      </c>
      <c r="G7" s="1030">
        <v>0</v>
      </c>
      <c r="H7" s="1065">
        <v>0</v>
      </c>
      <c r="I7" s="1067">
        <v>0</v>
      </c>
      <c r="J7" s="1031">
        <v>0</v>
      </c>
      <c r="K7" s="1030">
        <v>0</v>
      </c>
      <c r="L7" s="1065">
        <v>0</v>
      </c>
    </row>
    <row r="8" spans="1:12" ht="11.25" customHeight="1" x14ac:dyDescent="0.25">
      <c r="A8" s="189" t="s">
        <v>1571</v>
      </c>
      <c r="B8" s="279"/>
      <c r="C8" s="1030">
        <v>0</v>
      </c>
      <c r="D8" s="1030">
        <v>0</v>
      </c>
      <c r="E8" s="1065">
        <v>0</v>
      </c>
      <c r="F8" s="1066">
        <v>1344218.8130000001</v>
      </c>
      <c r="G8" s="1030">
        <v>0</v>
      </c>
      <c r="H8" s="1065">
        <v>0</v>
      </c>
      <c r="I8" s="1067">
        <v>0</v>
      </c>
      <c r="J8" s="1031">
        <v>0</v>
      </c>
      <c r="K8" s="1030">
        <v>0</v>
      </c>
      <c r="L8" s="1065">
        <v>0</v>
      </c>
    </row>
    <row r="9" spans="1:12" ht="11.25" customHeight="1" x14ac:dyDescent="0.25">
      <c r="A9" s="303" t="s">
        <v>2513</v>
      </c>
      <c r="B9" s="279">
        <v>2</v>
      </c>
      <c r="C9" s="259">
        <v>354737.14999999991</v>
      </c>
      <c r="D9" s="259">
        <v>4219397</v>
      </c>
      <c r="E9" s="260">
        <v>4485612</v>
      </c>
      <c r="F9" s="261">
        <v>9166599.3630000055</v>
      </c>
      <c r="G9" s="259">
        <v>0</v>
      </c>
      <c r="H9" s="260">
        <v>0</v>
      </c>
      <c r="I9" s="258">
        <v>0</v>
      </c>
      <c r="J9" s="262">
        <v>0</v>
      </c>
      <c r="K9" s="259">
        <v>0</v>
      </c>
      <c r="L9" s="260">
        <v>0</v>
      </c>
    </row>
    <row r="10" spans="1:12" ht="5.0999999999999996" customHeight="1" x14ac:dyDescent="0.25">
      <c r="A10" s="199"/>
      <c r="B10" s="279"/>
      <c r="C10" s="205"/>
      <c r="D10" s="205"/>
      <c r="E10" s="256"/>
      <c r="F10" s="246"/>
      <c r="G10" s="205"/>
      <c r="H10" s="256"/>
      <c r="I10" s="208"/>
      <c r="J10" s="209"/>
      <c r="K10" s="205"/>
      <c r="L10" s="256"/>
    </row>
    <row r="11" spans="1:12" ht="11.25" customHeight="1" x14ac:dyDescent="0.25">
      <c r="A11" s="180" t="s">
        <v>1525</v>
      </c>
      <c r="B11" s="279"/>
      <c r="C11" s="205"/>
      <c r="D11" s="205"/>
      <c r="E11" s="256"/>
      <c r="F11" s="246"/>
      <c r="G11" s="205"/>
      <c r="H11" s="256"/>
      <c r="I11" s="208"/>
      <c r="J11" s="209"/>
      <c r="K11" s="205"/>
      <c r="L11" s="256"/>
    </row>
    <row r="12" spans="1:12" ht="11.25" customHeight="1" x14ac:dyDescent="0.25">
      <c r="A12" s="189" t="s">
        <v>1525</v>
      </c>
      <c r="B12" s="279"/>
      <c r="C12" s="1030">
        <v>19589751.050000001</v>
      </c>
      <c r="D12" s="1030">
        <v>19785472</v>
      </c>
      <c r="E12" s="1065">
        <v>22588238</v>
      </c>
      <c r="F12" s="1066">
        <v>21809753.34</v>
      </c>
      <c r="G12" s="1030">
        <v>23943532.280000001</v>
      </c>
      <c r="H12" s="1065">
        <v>23943532.280000001</v>
      </c>
      <c r="I12" s="1067">
        <v>23943532.280000001</v>
      </c>
      <c r="J12" s="1031">
        <v>25140708.894000001</v>
      </c>
      <c r="K12" s="1030">
        <v>26146337.249760002</v>
      </c>
      <c r="L12" s="1065">
        <v>27453654.112248003</v>
      </c>
    </row>
    <row r="13" spans="1:12" ht="11.25" customHeight="1" x14ac:dyDescent="0.25">
      <c r="A13" s="375" t="s">
        <v>376</v>
      </c>
      <c r="B13" s="279"/>
      <c r="C13" s="1030">
        <v>-13501096</v>
      </c>
      <c r="D13" s="1030">
        <v>-17894045</v>
      </c>
      <c r="E13" s="1065">
        <v>-20611524</v>
      </c>
      <c r="F13" s="1066">
        <v>-12100000</v>
      </c>
      <c r="G13" s="1030">
        <v>-22605690</v>
      </c>
      <c r="H13" s="1065">
        <v>-22605690</v>
      </c>
      <c r="I13" s="1067">
        <v>-22605690</v>
      </c>
      <c r="J13" s="1031">
        <v>-23779744.460000001</v>
      </c>
      <c r="K13" s="1030">
        <v>-24644242.187600002</v>
      </c>
      <c r="L13" s="1065">
        <v>-25460609.778856002</v>
      </c>
    </row>
    <row r="14" spans="1:12" ht="11.25" customHeight="1" x14ac:dyDescent="0.25">
      <c r="A14" s="303" t="s">
        <v>2514</v>
      </c>
      <c r="B14" s="279">
        <v>2</v>
      </c>
      <c r="C14" s="259">
        <v>6088655.0500000007</v>
      </c>
      <c r="D14" s="259">
        <v>1891427</v>
      </c>
      <c r="E14" s="260">
        <v>1976714</v>
      </c>
      <c r="F14" s="261">
        <v>9709753.3399999999</v>
      </c>
      <c r="G14" s="259">
        <v>1337842.2800000012</v>
      </c>
      <c r="H14" s="260">
        <v>1337842.2800000012</v>
      </c>
      <c r="I14" s="258">
        <v>1337842.2800000012</v>
      </c>
      <c r="J14" s="262">
        <v>1360964.4340000004</v>
      </c>
      <c r="K14" s="259">
        <v>1502095.0621600002</v>
      </c>
      <c r="L14" s="260">
        <v>1993044.3333920017</v>
      </c>
    </row>
    <row r="15" spans="1:12" ht="5.0999999999999996" customHeight="1" x14ac:dyDescent="0.25">
      <c r="A15" s="199"/>
      <c r="B15" s="279"/>
      <c r="C15" s="205"/>
      <c r="D15" s="205"/>
      <c r="E15" s="256"/>
      <c r="F15" s="246"/>
      <c r="G15" s="205"/>
      <c r="H15" s="256"/>
      <c r="I15" s="208"/>
      <c r="J15" s="209"/>
      <c r="K15" s="205"/>
      <c r="L15" s="256"/>
    </row>
    <row r="16" spans="1:12" ht="11.25" customHeight="1" x14ac:dyDescent="0.25">
      <c r="A16" s="954" t="s">
        <v>3</v>
      </c>
      <c r="B16" s="279"/>
      <c r="C16" s="205"/>
      <c r="D16" s="205"/>
      <c r="E16" s="256"/>
      <c r="F16" s="246"/>
      <c r="G16" s="205"/>
      <c r="H16" s="256"/>
      <c r="I16" s="208"/>
      <c r="J16" s="209"/>
      <c r="K16" s="205"/>
      <c r="L16" s="256"/>
    </row>
    <row r="17" spans="1:12" ht="11.25" customHeight="1" x14ac:dyDescent="0.25">
      <c r="A17" s="378" t="s">
        <v>4</v>
      </c>
      <c r="B17" s="279"/>
      <c r="C17" s="1030">
        <v>13740000.139991352</v>
      </c>
      <c r="D17" s="1030">
        <v>13501096</v>
      </c>
      <c r="E17" s="1065">
        <v>17894045</v>
      </c>
      <c r="F17" s="1066">
        <v>9215096</v>
      </c>
      <c r="G17" s="1030">
        <v>20611524</v>
      </c>
      <c r="H17" s="1065">
        <v>20611524</v>
      </c>
      <c r="I17" s="1067">
        <v>20611524</v>
      </c>
      <c r="J17" s="1031">
        <v>22605690</v>
      </c>
      <c r="K17" s="1030">
        <v>23779744.460000001</v>
      </c>
      <c r="L17" s="1065">
        <v>24644242.187600002</v>
      </c>
    </row>
    <row r="18" spans="1:12" ht="11.25" customHeight="1" x14ac:dyDescent="0.25">
      <c r="A18" s="378" t="s">
        <v>5</v>
      </c>
      <c r="B18" s="279"/>
      <c r="C18" s="1030">
        <v>-238904.13999135193</v>
      </c>
      <c r="D18" s="1030">
        <v>9166171</v>
      </c>
      <c r="E18" s="1065">
        <v>2894875</v>
      </c>
      <c r="F18" s="1066">
        <v>3400000</v>
      </c>
      <c r="G18" s="1030">
        <v>8899166</v>
      </c>
      <c r="H18" s="1065">
        <v>8899166</v>
      </c>
      <c r="I18" s="1067">
        <v>8899166</v>
      </c>
      <c r="J18" s="1031">
        <v>3174054.46</v>
      </c>
      <c r="K18" s="1030">
        <v>3364497.7276000003</v>
      </c>
      <c r="L18" s="1065">
        <v>3566367.5912560006</v>
      </c>
    </row>
    <row r="19" spans="1:12" ht="11.25" customHeight="1" x14ac:dyDescent="0.25">
      <c r="A19" s="378" t="s">
        <v>6</v>
      </c>
      <c r="B19" s="279"/>
      <c r="C19" s="1030">
        <v>0</v>
      </c>
      <c r="D19" s="1030">
        <v>-4773222</v>
      </c>
      <c r="E19" s="1065">
        <v>-177396</v>
      </c>
      <c r="F19" s="1066">
        <v>-2905000</v>
      </c>
      <c r="G19" s="1030">
        <v>-6905000</v>
      </c>
      <c r="H19" s="1065">
        <v>-6905000</v>
      </c>
      <c r="I19" s="1067">
        <v>-6905000</v>
      </c>
      <c r="J19" s="1031">
        <v>-2000000</v>
      </c>
      <c r="K19" s="1030">
        <v>-2500000</v>
      </c>
      <c r="L19" s="1065">
        <v>-2750000</v>
      </c>
    </row>
    <row r="20" spans="1:12" ht="11.25" customHeight="1" x14ac:dyDescent="0.25">
      <c r="A20" s="953" t="s">
        <v>7</v>
      </c>
      <c r="B20" s="279"/>
      <c r="C20" s="259">
        <v>13501096</v>
      </c>
      <c r="D20" s="259">
        <v>17894045</v>
      </c>
      <c r="E20" s="260">
        <v>20611524</v>
      </c>
      <c r="F20" s="261">
        <v>9710096</v>
      </c>
      <c r="G20" s="259">
        <v>22605690</v>
      </c>
      <c r="H20" s="260">
        <v>22605690</v>
      </c>
      <c r="I20" s="258">
        <v>22605690</v>
      </c>
      <c r="J20" s="262">
        <v>23779744.460000001</v>
      </c>
      <c r="K20" s="259">
        <v>24644242.187600002</v>
      </c>
      <c r="L20" s="260">
        <v>25460609.778856002</v>
      </c>
    </row>
    <row r="21" spans="1:12" ht="5.0999999999999996" customHeight="1" x14ac:dyDescent="0.25">
      <c r="A21" s="199"/>
      <c r="B21" s="279"/>
      <c r="C21" s="205"/>
      <c r="D21" s="205"/>
      <c r="E21" s="256"/>
      <c r="F21" s="246"/>
      <c r="G21" s="205"/>
      <c r="H21" s="256"/>
      <c r="I21" s="208"/>
      <c r="J21" s="209"/>
      <c r="K21" s="205"/>
      <c r="L21" s="256"/>
    </row>
    <row r="22" spans="1:12" ht="11.25" customHeight="1" x14ac:dyDescent="0.25">
      <c r="A22" s="180" t="s">
        <v>2515</v>
      </c>
      <c r="B22" s="279"/>
      <c r="C22" s="205"/>
      <c r="D22" s="205"/>
      <c r="E22" s="256"/>
      <c r="F22" s="246"/>
      <c r="G22" s="205"/>
      <c r="H22" s="256"/>
      <c r="I22" s="208"/>
      <c r="J22" s="209"/>
      <c r="K22" s="205"/>
      <c r="L22" s="256"/>
    </row>
    <row r="23" spans="1:12" ht="11.25" customHeight="1" x14ac:dyDescent="0.25">
      <c r="A23" s="302" t="s">
        <v>1674</v>
      </c>
      <c r="B23" s="279"/>
      <c r="C23" s="1030">
        <v>115597986.02000001</v>
      </c>
      <c r="D23" s="1030">
        <v>131080809.78</v>
      </c>
      <c r="E23" s="1065">
        <v>137227582.61000001</v>
      </c>
      <c r="F23" s="1066">
        <v>108510467.66192767</v>
      </c>
      <c r="G23" s="1030">
        <v>147007582.61000001</v>
      </c>
      <c r="H23" s="1065">
        <v>147007582.61000001</v>
      </c>
      <c r="I23" s="1066">
        <v>147007582.61000001</v>
      </c>
      <c r="J23" s="1066">
        <v>159972582.61000001</v>
      </c>
      <c r="K23" s="1030">
        <v>174464882.61000001</v>
      </c>
      <c r="L23" s="1065">
        <v>188942720.61000001</v>
      </c>
    </row>
    <row r="24" spans="1:12" ht="11.25" customHeight="1" x14ac:dyDescent="0.25">
      <c r="A24" s="302" t="s">
        <v>1060</v>
      </c>
      <c r="B24" s="279">
        <v>3</v>
      </c>
      <c r="C24" s="1030">
        <v>131015.02</v>
      </c>
      <c r="D24" s="1030">
        <v>308088.2</v>
      </c>
      <c r="E24" s="1030">
        <v>308088.2</v>
      </c>
      <c r="F24" s="1066">
        <v>0</v>
      </c>
      <c r="G24" s="1030">
        <v>308088.2</v>
      </c>
      <c r="H24" s="1065">
        <v>308088.2</v>
      </c>
      <c r="I24" s="1067">
        <v>308088.2</v>
      </c>
      <c r="J24" s="1031">
        <v>308088.2</v>
      </c>
      <c r="K24" s="1030">
        <v>308088.2</v>
      </c>
      <c r="L24" s="1065">
        <v>308088.2</v>
      </c>
    </row>
    <row r="25" spans="1:12" ht="11.25" customHeight="1" x14ac:dyDescent="0.25">
      <c r="A25" s="1250" t="s">
        <v>822</v>
      </c>
      <c r="B25" s="279"/>
      <c r="C25" s="1030">
        <v>9616409.1746146213</v>
      </c>
      <c r="D25" s="1030">
        <v>14731324.309242301</v>
      </c>
      <c r="E25" s="1065">
        <v>20032435.803917307</v>
      </c>
      <c r="F25" s="1066">
        <v>-5292733.0649144258</v>
      </c>
      <c r="G25" s="1030">
        <v>25389968.803917304</v>
      </c>
      <c r="H25" s="1065">
        <v>25389968.803917304</v>
      </c>
      <c r="I25" s="1067">
        <v>25389968.803917304</v>
      </c>
      <c r="J25" s="1031">
        <v>31086423.343917303</v>
      </c>
      <c r="K25" s="1030">
        <v>37126279.996317305</v>
      </c>
      <c r="L25" s="1065">
        <v>43521526.887861304</v>
      </c>
    </row>
    <row r="26" spans="1:12" ht="11.25" customHeight="1" x14ac:dyDescent="0.25">
      <c r="A26" s="303" t="s">
        <v>2516</v>
      </c>
      <c r="B26" s="279">
        <v>2</v>
      </c>
      <c r="C26" s="259">
        <v>106112591.86538538</v>
      </c>
      <c r="D26" s="259">
        <v>116657573.67075771</v>
      </c>
      <c r="E26" s="260">
        <v>117503235.0060827</v>
      </c>
      <c r="F26" s="261">
        <v>113803200.72684209</v>
      </c>
      <c r="G26" s="259">
        <v>121925702.0060827</v>
      </c>
      <c r="H26" s="260">
        <v>121925702.0060827</v>
      </c>
      <c r="I26" s="258">
        <v>121925702.0060827</v>
      </c>
      <c r="J26" s="262">
        <v>129194247.46608269</v>
      </c>
      <c r="K26" s="259">
        <v>137646690.81368271</v>
      </c>
      <c r="L26" s="260">
        <v>145729281.92213869</v>
      </c>
    </row>
    <row r="27" spans="1:12" ht="5.0999999999999996" customHeight="1" x14ac:dyDescent="0.25">
      <c r="A27" s="199"/>
      <c r="B27" s="279"/>
      <c r="C27" s="205"/>
      <c r="D27" s="205"/>
      <c r="E27" s="256"/>
      <c r="F27" s="246"/>
      <c r="G27" s="205"/>
      <c r="H27" s="256"/>
      <c r="I27" s="208"/>
      <c r="J27" s="209"/>
      <c r="K27" s="205"/>
      <c r="L27" s="256"/>
    </row>
    <row r="28" spans="1:12" ht="15.75" customHeight="1" x14ac:dyDescent="0.25">
      <c r="A28" s="369" t="s">
        <v>573</v>
      </c>
      <c r="B28" s="370"/>
      <c r="C28" s="333"/>
      <c r="D28" s="333"/>
      <c r="E28" s="334"/>
      <c r="F28" s="335"/>
      <c r="G28" s="333"/>
      <c r="H28" s="334"/>
      <c r="I28" s="1053"/>
      <c r="J28" s="1050"/>
      <c r="K28" s="333"/>
      <c r="L28" s="334"/>
    </row>
    <row r="29" spans="1:12" ht="11.25" customHeight="1" x14ac:dyDescent="0.25">
      <c r="A29" s="180" t="s">
        <v>2517</v>
      </c>
      <c r="B29" s="279"/>
      <c r="C29" s="205"/>
      <c r="D29" s="205"/>
      <c r="E29" s="256"/>
      <c r="F29" s="246"/>
      <c r="G29" s="205"/>
      <c r="H29" s="256"/>
      <c r="I29" s="208"/>
      <c r="J29" s="209"/>
      <c r="K29" s="205"/>
      <c r="L29" s="256"/>
    </row>
    <row r="30" spans="1:12" ht="11.25" customHeight="1" x14ac:dyDescent="0.25">
      <c r="A30" s="189" t="s">
        <v>705</v>
      </c>
      <c r="B30" s="279"/>
      <c r="C30" s="1030">
        <v>0</v>
      </c>
      <c r="D30" s="1030">
        <v>0</v>
      </c>
      <c r="E30" s="1065">
        <v>0</v>
      </c>
      <c r="F30" s="1066">
        <v>0</v>
      </c>
      <c r="G30" s="1030">
        <v>0</v>
      </c>
      <c r="H30" s="1065">
        <v>0</v>
      </c>
      <c r="I30" s="1067">
        <v>0</v>
      </c>
      <c r="J30" s="1031">
        <v>0</v>
      </c>
      <c r="K30" s="1030">
        <v>0</v>
      </c>
      <c r="L30" s="1065">
        <v>0</v>
      </c>
    </row>
    <row r="31" spans="1:12" ht="11.25" customHeight="1" x14ac:dyDescent="0.25">
      <c r="A31" s="189" t="s">
        <v>1520</v>
      </c>
      <c r="B31" s="279"/>
      <c r="C31" s="1030">
        <v>140911.67348343489</v>
      </c>
      <c r="D31" s="1030">
        <v>197567</v>
      </c>
      <c r="E31" s="1065">
        <v>230676</v>
      </c>
      <c r="F31" s="1066">
        <v>453000</v>
      </c>
      <c r="G31" s="1030">
        <v>200676</v>
      </c>
      <c r="H31" s="1065">
        <v>200676</v>
      </c>
      <c r="I31" s="1067">
        <v>200676</v>
      </c>
      <c r="J31" s="1031">
        <v>197977.997894261</v>
      </c>
      <c r="K31" s="1030">
        <v>175454.4</v>
      </c>
      <c r="L31" s="1065">
        <v>0</v>
      </c>
    </row>
    <row r="32" spans="1:12" ht="11.25" customHeight="1" x14ac:dyDescent="0.25">
      <c r="A32" s="303" t="s">
        <v>2518</v>
      </c>
      <c r="B32" s="279"/>
      <c r="C32" s="259">
        <v>140911.67348343489</v>
      </c>
      <c r="D32" s="259">
        <v>197567</v>
      </c>
      <c r="E32" s="260">
        <v>230676</v>
      </c>
      <c r="F32" s="261">
        <v>453000</v>
      </c>
      <c r="G32" s="259">
        <v>200676</v>
      </c>
      <c r="H32" s="260">
        <v>200676</v>
      </c>
      <c r="I32" s="258">
        <v>200676</v>
      </c>
      <c r="J32" s="262">
        <v>197977.997894261</v>
      </c>
      <c r="K32" s="259">
        <v>175454.4</v>
      </c>
      <c r="L32" s="260">
        <v>0</v>
      </c>
    </row>
    <row r="33" spans="1:12" ht="5.0999999999999996" customHeight="1" x14ac:dyDescent="0.25">
      <c r="A33" s="199"/>
      <c r="B33" s="279"/>
      <c r="C33" s="205"/>
      <c r="D33" s="205"/>
      <c r="E33" s="256"/>
      <c r="F33" s="246"/>
      <c r="G33" s="205"/>
      <c r="H33" s="256"/>
      <c r="I33" s="208"/>
      <c r="J33" s="209"/>
      <c r="K33" s="205"/>
      <c r="L33" s="256"/>
    </row>
    <row r="34" spans="1:12" ht="11.25" customHeight="1" x14ac:dyDescent="0.25">
      <c r="A34" s="180" t="s">
        <v>704</v>
      </c>
      <c r="B34" s="279"/>
      <c r="C34" s="776"/>
      <c r="D34" s="776"/>
      <c r="E34" s="779"/>
      <c r="F34" s="778"/>
      <c r="G34" s="776"/>
      <c r="H34" s="779"/>
      <c r="I34" s="2106"/>
      <c r="J34" s="2130"/>
      <c r="K34" s="776"/>
      <c r="L34" s="779"/>
    </row>
    <row r="35" spans="1:12" ht="11.25" customHeight="1" x14ac:dyDescent="0.25">
      <c r="A35" s="302" t="s">
        <v>962</v>
      </c>
      <c r="B35" s="279"/>
      <c r="C35" s="1030">
        <v>1664195.3</v>
      </c>
      <c r="D35" s="1030">
        <v>6595057.6500000004</v>
      </c>
      <c r="E35" s="1065">
        <v>6503473.6500000004</v>
      </c>
      <c r="F35" s="1066">
        <v>7390969.7800000003</v>
      </c>
      <c r="G35" s="1030">
        <v>7088786.2785000009</v>
      </c>
      <c r="H35" s="1065">
        <v>7088786.2785000009</v>
      </c>
      <c r="I35" s="1067">
        <v>7088786.2785000009</v>
      </c>
      <c r="J35" s="1031">
        <v>7585001.3179950016</v>
      </c>
      <c r="K35" s="1030">
        <v>8115951.4102546517</v>
      </c>
      <c r="L35" s="1065">
        <v>8684068.0089724772</v>
      </c>
    </row>
    <row r="36" spans="1:12" ht="11.25" customHeight="1" x14ac:dyDescent="0.25">
      <c r="A36" s="302" t="s">
        <v>1074</v>
      </c>
      <c r="B36" s="279"/>
      <c r="C36" s="1030">
        <v>609342.25999999966</v>
      </c>
      <c r="D36" s="1030">
        <v>3184584</v>
      </c>
      <c r="E36" s="1065">
        <v>4266700</v>
      </c>
      <c r="F36" s="1066">
        <v>0</v>
      </c>
      <c r="G36" s="1030">
        <v>4266700</v>
      </c>
      <c r="H36" s="1065">
        <v>4266700</v>
      </c>
      <c r="I36" s="1067">
        <v>4266700</v>
      </c>
      <c r="J36" s="1031">
        <v>4266700</v>
      </c>
      <c r="K36" s="1030">
        <v>4266700</v>
      </c>
      <c r="L36" s="1065">
        <v>4266700</v>
      </c>
    </row>
    <row r="37" spans="1:12" ht="11.25" customHeight="1" x14ac:dyDescent="0.25">
      <c r="A37" s="302" t="s">
        <v>1519</v>
      </c>
      <c r="B37" s="279"/>
      <c r="C37" s="1030">
        <v>2124267</v>
      </c>
      <c r="D37" s="1030">
        <v>1524871</v>
      </c>
      <c r="E37" s="1065">
        <v>209162</v>
      </c>
      <c r="F37" s="1066">
        <v>0</v>
      </c>
      <c r="G37" s="1030">
        <v>209162</v>
      </c>
      <c r="H37" s="1065">
        <v>209162</v>
      </c>
      <c r="I37" s="1067">
        <v>209162</v>
      </c>
      <c r="J37" s="1031">
        <v>209162</v>
      </c>
      <c r="K37" s="1030">
        <v>209162</v>
      </c>
      <c r="L37" s="1065">
        <v>209162</v>
      </c>
    </row>
    <row r="38" spans="1:12" ht="11.25" customHeight="1" x14ac:dyDescent="0.25">
      <c r="A38" s="303" t="s">
        <v>2519</v>
      </c>
      <c r="B38" s="279">
        <v>2</v>
      </c>
      <c r="C38" s="259">
        <v>4397804.5599999996</v>
      </c>
      <c r="D38" s="259">
        <v>11304512.65</v>
      </c>
      <c r="E38" s="260">
        <v>10979335.65</v>
      </c>
      <c r="F38" s="261">
        <v>7390969.7800000003</v>
      </c>
      <c r="G38" s="259">
        <v>11564648.278500002</v>
      </c>
      <c r="H38" s="260">
        <v>11564648.278500002</v>
      </c>
      <c r="I38" s="258">
        <v>11564648.278500002</v>
      </c>
      <c r="J38" s="262">
        <v>12060863.317995001</v>
      </c>
      <c r="K38" s="259">
        <v>12591813.410254652</v>
      </c>
      <c r="L38" s="260">
        <v>13159930.008972477</v>
      </c>
    </row>
    <row r="39" spans="1:12" ht="5.0999999999999996" customHeight="1" x14ac:dyDescent="0.25">
      <c r="A39" s="199"/>
      <c r="B39" s="279"/>
      <c r="C39" s="205"/>
      <c r="D39" s="205"/>
      <c r="E39" s="256"/>
      <c r="F39" s="246"/>
      <c r="G39" s="205"/>
      <c r="H39" s="256"/>
      <c r="I39" s="208"/>
      <c r="J39" s="209"/>
      <c r="K39" s="205"/>
      <c r="L39" s="256"/>
    </row>
    <row r="40" spans="1:12" ht="11.25" customHeight="1" x14ac:dyDescent="0.25">
      <c r="A40" s="180" t="s">
        <v>2520</v>
      </c>
      <c r="B40" s="279"/>
      <c r="C40" s="205"/>
      <c r="D40" s="205"/>
      <c r="E40" s="256"/>
      <c r="F40" s="246"/>
      <c r="G40" s="205"/>
      <c r="H40" s="256"/>
      <c r="I40" s="208"/>
      <c r="J40" s="209"/>
      <c r="K40" s="205"/>
      <c r="L40" s="256"/>
    </row>
    <row r="41" spans="1:12" ht="11.25" customHeight="1" x14ac:dyDescent="0.25">
      <c r="A41" s="189" t="s">
        <v>1288</v>
      </c>
      <c r="B41" s="279">
        <v>4</v>
      </c>
      <c r="C41" s="1030">
        <v>884786.43651656504</v>
      </c>
      <c r="D41" s="1030">
        <v>749917</v>
      </c>
      <c r="E41" s="1065">
        <v>596874</v>
      </c>
      <c r="F41" s="1066">
        <v>1436000</v>
      </c>
      <c r="G41" s="1030">
        <v>396198</v>
      </c>
      <c r="H41" s="1065">
        <v>396198</v>
      </c>
      <c r="I41" s="1067">
        <v>396198</v>
      </c>
      <c r="J41" s="1031">
        <v>175454.4</v>
      </c>
      <c r="K41" s="1030">
        <v>0</v>
      </c>
      <c r="L41" s="1065">
        <v>0</v>
      </c>
    </row>
    <row r="42" spans="1:12" ht="11.25" customHeight="1" x14ac:dyDescent="0.25">
      <c r="A42" s="189" t="s">
        <v>1050</v>
      </c>
      <c r="B42" s="279"/>
      <c r="C42" s="1030">
        <v>86021.37999999999</v>
      </c>
      <c r="D42" s="1030">
        <v>172285</v>
      </c>
      <c r="E42" s="1065">
        <v>94653</v>
      </c>
      <c r="F42" s="1066">
        <v>0</v>
      </c>
      <c r="G42" s="1030">
        <v>80455.05</v>
      </c>
      <c r="H42" s="1065">
        <v>80455.05</v>
      </c>
      <c r="I42" s="1067">
        <v>80455.05</v>
      </c>
      <c r="J42" s="1031">
        <v>68386.792499999996</v>
      </c>
      <c r="K42" s="1030">
        <v>58128.773624999994</v>
      </c>
      <c r="L42" s="1065">
        <v>30000</v>
      </c>
    </row>
    <row r="43" spans="1:12" ht="11.25" customHeight="1" x14ac:dyDescent="0.25">
      <c r="A43" s="303" t="s">
        <v>2521</v>
      </c>
      <c r="B43" s="279"/>
      <c r="C43" s="259">
        <v>970807.81651656504</v>
      </c>
      <c r="D43" s="259">
        <v>922202</v>
      </c>
      <c r="E43" s="260">
        <v>691527</v>
      </c>
      <c r="F43" s="261">
        <v>1436000</v>
      </c>
      <c r="G43" s="259">
        <v>476653.05</v>
      </c>
      <c r="H43" s="260">
        <v>476653.05</v>
      </c>
      <c r="I43" s="258">
        <v>476653.05</v>
      </c>
      <c r="J43" s="262">
        <v>243841.1925</v>
      </c>
      <c r="K43" s="259">
        <v>58128.773624999994</v>
      </c>
      <c r="L43" s="260">
        <v>30000</v>
      </c>
    </row>
    <row r="44" spans="1:12" ht="5.0999999999999996" customHeight="1" x14ac:dyDescent="0.25">
      <c r="A44" s="199"/>
      <c r="B44" s="279"/>
      <c r="C44" s="205"/>
      <c r="D44" s="205"/>
      <c r="E44" s="256"/>
      <c r="F44" s="246"/>
      <c r="G44" s="205"/>
      <c r="H44" s="256"/>
      <c r="I44" s="208"/>
      <c r="J44" s="209"/>
      <c r="K44" s="205"/>
      <c r="L44" s="256"/>
    </row>
    <row r="45" spans="1:12" ht="11.25" customHeight="1" x14ac:dyDescent="0.25">
      <c r="A45" s="180" t="s">
        <v>2522</v>
      </c>
      <c r="B45" s="279"/>
      <c r="C45" s="205"/>
      <c r="D45" s="205"/>
      <c r="E45" s="256"/>
      <c r="F45" s="246"/>
      <c r="G45" s="205"/>
      <c r="H45" s="256"/>
      <c r="I45" s="208"/>
      <c r="J45" s="209"/>
      <c r="K45" s="205"/>
      <c r="L45" s="256"/>
    </row>
    <row r="46" spans="1:12" ht="11.25" customHeight="1" x14ac:dyDescent="0.25">
      <c r="A46" s="189" t="s">
        <v>1351</v>
      </c>
      <c r="B46" s="279"/>
      <c r="C46" s="1030">
        <v>3071975</v>
      </c>
      <c r="D46" s="1030">
        <v>3342644</v>
      </c>
      <c r="E46" s="1065">
        <v>3423779</v>
      </c>
      <c r="F46" s="1066">
        <v>0</v>
      </c>
      <c r="G46" s="1030">
        <v>3629205.74</v>
      </c>
      <c r="H46" s="1065">
        <v>3629205.74</v>
      </c>
      <c r="I46" s="1067">
        <v>3629205.74</v>
      </c>
      <c r="J46" s="1031">
        <v>3846958.0844000005</v>
      </c>
      <c r="K46" s="1030">
        <v>4077775.5694640009</v>
      </c>
      <c r="L46" s="1065">
        <v>4322442.103631841</v>
      </c>
    </row>
    <row r="47" spans="1:12" ht="11.25" customHeight="1" x14ac:dyDescent="0.25">
      <c r="A47" s="376" t="s">
        <v>1353</v>
      </c>
      <c r="B47" s="279"/>
      <c r="C47" s="205"/>
      <c r="D47" s="205"/>
      <c r="E47" s="256"/>
      <c r="F47" s="246"/>
      <c r="G47" s="205"/>
      <c r="H47" s="256"/>
      <c r="I47" s="208"/>
      <c r="J47" s="209"/>
      <c r="K47" s="205"/>
      <c r="L47" s="256"/>
    </row>
    <row r="48" spans="1:12" ht="11.25" customHeight="1" x14ac:dyDescent="0.25">
      <c r="A48" s="1327" t="s">
        <v>281</v>
      </c>
      <c r="B48" s="279"/>
      <c r="C48" s="1030">
        <v>1315223</v>
      </c>
      <c r="D48" s="1030">
        <v>1382245</v>
      </c>
      <c r="E48" s="1065">
        <v>525750</v>
      </c>
      <c r="F48" s="1066">
        <v>0</v>
      </c>
      <c r="G48" s="1030">
        <v>573067.5</v>
      </c>
      <c r="H48" s="1065">
        <v>573067.5</v>
      </c>
      <c r="I48" s="1067">
        <v>573067.5</v>
      </c>
      <c r="J48" s="1031">
        <v>624643.57500000007</v>
      </c>
      <c r="K48" s="1030">
        <v>680861.49675000017</v>
      </c>
      <c r="L48" s="1065">
        <v>742139.03145750018</v>
      </c>
    </row>
    <row r="49" spans="1:12" ht="11.25" customHeight="1" x14ac:dyDescent="0.25">
      <c r="A49" s="1327" t="s">
        <v>2436</v>
      </c>
      <c r="B49" s="279"/>
      <c r="C49" s="1030">
        <v>44114</v>
      </c>
      <c r="D49" s="1030">
        <v>61889</v>
      </c>
      <c r="E49" s="1065">
        <v>660836</v>
      </c>
      <c r="F49" s="1066">
        <v>0</v>
      </c>
      <c r="G49" s="1030">
        <v>700486.16</v>
      </c>
      <c r="H49" s="1065">
        <v>700486.16</v>
      </c>
      <c r="I49" s="1067">
        <v>700486.16</v>
      </c>
      <c r="J49" s="1031">
        <v>742515.32960000006</v>
      </c>
      <c r="K49" s="1030">
        <v>787066.24937600014</v>
      </c>
      <c r="L49" s="1065">
        <v>834290.22433856013</v>
      </c>
    </row>
    <row r="50" spans="1:12" ht="11.25" customHeight="1" x14ac:dyDescent="0.25">
      <c r="A50" s="303" t="s">
        <v>2523</v>
      </c>
      <c r="B50" s="279"/>
      <c r="C50" s="259">
        <v>4431312</v>
      </c>
      <c r="D50" s="259">
        <v>4786778</v>
      </c>
      <c r="E50" s="260">
        <v>4610365</v>
      </c>
      <c r="F50" s="261">
        <v>0</v>
      </c>
      <c r="G50" s="259">
        <v>4902759.4000000004</v>
      </c>
      <c r="H50" s="260">
        <v>4902759.4000000004</v>
      </c>
      <c r="I50" s="258">
        <v>4902759.4000000004</v>
      </c>
      <c r="J50" s="262">
        <v>5214116.9890000001</v>
      </c>
      <c r="K50" s="259">
        <v>5545703.3155900007</v>
      </c>
      <c r="L50" s="260">
        <v>5898871.3594279019</v>
      </c>
    </row>
    <row r="51" spans="1:12" ht="5.0999999999999996" customHeight="1" x14ac:dyDescent="0.25">
      <c r="A51" s="199"/>
      <c r="B51" s="279"/>
      <c r="C51" s="205"/>
      <c r="D51" s="205"/>
      <c r="E51" s="256"/>
      <c r="F51" s="246"/>
      <c r="G51" s="205"/>
      <c r="H51" s="256"/>
      <c r="I51" s="208"/>
      <c r="J51" s="209"/>
      <c r="K51" s="205"/>
      <c r="L51" s="256"/>
    </row>
    <row r="52" spans="1:12" ht="15.75" customHeight="1" x14ac:dyDescent="0.25">
      <c r="A52" s="386" t="s">
        <v>1073</v>
      </c>
      <c r="B52" s="370"/>
      <c r="C52" s="333"/>
      <c r="D52" s="333"/>
      <c r="E52" s="334"/>
      <c r="F52" s="335"/>
      <c r="G52" s="333"/>
      <c r="H52" s="334"/>
      <c r="I52" s="1053"/>
      <c r="J52" s="1050"/>
      <c r="K52" s="333"/>
      <c r="L52" s="334"/>
    </row>
    <row r="53" spans="1:12" ht="11.25" customHeight="1" x14ac:dyDescent="0.25">
      <c r="A53" s="364" t="s">
        <v>427</v>
      </c>
      <c r="B53" s="279"/>
      <c r="C53" s="205"/>
      <c r="D53" s="205"/>
      <c r="E53" s="256"/>
      <c r="F53" s="246"/>
      <c r="G53" s="205"/>
      <c r="H53" s="256"/>
      <c r="I53" s="208"/>
      <c r="J53" s="209"/>
      <c r="K53" s="205"/>
      <c r="L53" s="256"/>
    </row>
    <row r="54" spans="1:12" ht="11.25" customHeight="1" x14ac:dyDescent="0.25">
      <c r="A54" s="189" t="s">
        <v>2524</v>
      </c>
      <c r="B54" s="279"/>
      <c r="C54" s="1030">
        <v>88044484.361959159</v>
      </c>
      <c r="D54" s="1030">
        <v>123470561</v>
      </c>
      <c r="E54" s="1065">
        <v>125751075.78191918</v>
      </c>
      <c r="F54" s="1066">
        <v>0</v>
      </c>
      <c r="G54" s="1030">
        <v>120696767.42398737</v>
      </c>
      <c r="H54" s="1065">
        <v>120696767.42398737</v>
      </c>
      <c r="I54" s="1067">
        <v>120696767.42398737</v>
      </c>
      <c r="J54" s="1031">
        <v>105264214.13827309</v>
      </c>
      <c r="K54" s="1030">
        <v>101673347.11642623</v>
      </c>
      <c r="L54" s="1065">
        <v>100735164.07326856</v>
      </c>
    </row>
    <row r="55" spans="1:12" ht="11.25" customHeight="1" x14ac:dyDescent="0.25">
      <c r="A55" s="189" t="s">
        <v>1706</v>
      </c>
      <c r="B55" s="279"/>
      <c r="C55" s="1030">
        <v>14578416.383482009</v>
      </c>
      <c r="D55" s="1030">
        <v>0</v>
      </c>
      <c r="E55" s="1065">
        <v>0</v>
      </c>
      <c r="F55" s="1066">
        <v>0</v>
      </c>
      <c r="G55" s="1030">
        <v>0</v>
      </c>
      <c r="H55" s="1065">
        <v>0</v>
      </c>
      <c r="I55" s="1067">
        <v>0</v>
      </c>
      <c r="J55" s="1031">
        <v>0</v>
      </c>
      <c r="K55" s="1030">
        <v>0</v>
      </c>
      <c r="L55" s="1065">
        <v>0</v>
      </c>
    </row>
    <row r="56" spans="1:12" ht="11.25" customHeight="1" x14ac:dyDescent="0.25">
      <c r="A56" s="189" t="s">
        <v>1708</v>
      </c>
      <c r="B56" s="279"/>
      <c r="C56" s="205">
        <v>102622900.74544117</v>
      </c>
      <c r="D56" s="205">
        <v>123470561</v>
      </c>
      <c r="E56" s="256">
        <v>125751075.78191918</v>
      </c>
      <c r="F56" s="246">
        <v>0</v>
      </c>
      <c r="G56" s="205">
        <v>120696767.42398737</v>
      </c>
      <c r="H56" s="256">
        <v>120696767.42398737</v>
      </c>
      <c r="I56" s="208">
        <v>120696767.42398737</v>
      </c>
      <c r="J56" s="209">
        <v>105264214.13827309</v>
      </c>
      <c r="K56" s="205">
        <v>101673347.11642623</v>
      </c>
      <c r="L56" s="256">
        <v>100735164.07326856</v>
      </c>
    </row>
    <row r="57" spans="1:12" ht="11.25" customHeight="1" x14ac:dyDescent="0.25">
      <c r="A57" s="189" t="s">
        <v>1725</v>
      </c>
      <c r="B57" s="279"/>
      <c r="C57" s="205">
        <v>19286660.254558828</v>
      </c>
      <c r="D57" s="205">
        <v>2280514.7819191758</v>
      </c>
      <c r="E57" s="256">
        <v>-5054308.3579318076</v>
      </c>
      <c r="F57" s="246">
        <v>-7179590.7007879913</v>
      </c>
      <c r="G57" s="205">
        <v>-15432553.285714284</v>
      </c>
      <c r="H57" s="256">
        <v>-15432553.285714284</v>
      </c>
      <c r="I57" s="208">
        <v>-15432553.285714284</v>
      </c>
      <c r="J57" s="209">
        <v>-3590867.0218468606</v>
      </c>
      <c r="K57" s="205">
        <v>-938183.04315766692</v>
      </c>
      <c r="L57" s="256">
        <v>-842898.03174713254</v>
      </c>
    </row>
    <row r="58" spans="1:12" ht="11.25" customHeight="1" x14ac:dyDescent="0.25">
      <c r="A58" s="189" t="s">
        <v>1704</v>
      </c>
      <c r="B58" s="279"/>
      <c r="C58" s="1030">
        <v>0</v>
      </c>
      <c r="D58" s="1030">
        <v>0</v>
      </c>
      <c r="E58" s="1065">
        <v>0</v>
      </c>
      <c r="F58" s="1066">
        <v>0</v>
      </c>
      <c r="G58" s="1030">
        <v>0</v>
      </c>
      <c r="H58" s="1065">
        <v>0</v>
      </c>
      <c r="I58" s="1067">
        <v>0</v>
      </c>
      <c r="J58" s="1031">
        <v>0</v>
      </c>
      <c r="K58" s="1030">
        <v>0</v>
      </c>
      <c r="L58" s="1065">
        <v>0</v>
      </c>
    </row>
    <row r="59" spans="1:12" ht="11.25" customHeight="1" x14ac:dyDescent="0.25">
      <c r="A59" s="189" t="s">
        <v>1705</v>
      </c>
      <c r="B59" s="279"/>
      <c r="C59" s="1030">
        <v>1561000</v>
      </c>
      <c r="D59" s="1030">
        <v>0</v>
      </c>
      <c r="E59" s="1065">
        <v>0</v>
      </c>
      <c r="F59" s="1066">
        <v>0</v>
      </c>
      <c r="G59" s="1030">
        <v>0</v>
      </c>
      <c r="H59" s="1065">
        <v>0</v>
      </c>
      <c r="I59" s="1067">
        <v>0</v>
      </c>
      <c r="J59" s="1031">
        <v>0</v>
      </c>
      <c r="K59" s="1030">
        <v>0</v>
      </c>
      <c r="L59" s="1065">
        <v>0</v>
      </c>
    </row>
    <row r="60" spans="1:12" ht="11.25" customHeight="1" x14ac:dyDescent="0.25">
      <c r="A60" s="189" t="s">
        <v>1343</v>
      </c>
      <c r="B60" s="279"/>
      <c r="C60" s="1030">
        <v>0</v>
      </c>
      <c r="D60" s="1030">
        <v>0</v>
      </c>
      <c r="E60" s="1065">
        <v>0</v>
      </c>
      <c r="F60" s="1066">
        <v>0</v>
      </c>
      <c r="G60" s="1030">
        <v>0</v>
      </c>
      <c r="H60" s="1065"/>
      <c r="I60" s="1067">
        <v>0</v>
      </c>
      <c r="J60" s="1031">
        <v>0</v>
      </c>
      <c r="K60" s="1030">
        <v>0</v>
      </c>
      <c r="L60" s="1065">
        <v>0</v>
      </c>
    </row>
    <row r="61" spans="1:12" ht="11.25" customHeight="1" x14ac:dyDescent="0.25">
      <c r="A61" s="189" t="s">
        <v>1707</v>
      </c>
      <c r="B61" s="279"/>
      <c r="C61" s="1030">
        <v>0</v>
      </c>
      <c r="D61" s="1030">
        <v>0</v>
      </c>
      <c r="E61" s="1065">
        <v>0</v>
      </c>
      <c r="F61" s="1066">
        <v>0</v>
      </c>
      <c r="G61" s="1030">
        <v>0</v>
      </c>
      <c r="H61" s="1065">
        <v>0</v>
      </c>
      <c r="I61" s="1067">
        <v>0</v>
      </c>
      <c r="J61" s="1031">
        <v>0</v>
      </c>
      <c r="K61" s="1030">
        <v>0</v>
      </c>
      <c r="L61" s="1065">
        <v>0</v>
      </c>
    </row>
    <row r="62" spans="1:12" ht="11.25" customHeight="1" x14ac:dyDescent="0.25">
      <c r="A62" s="1028" t="s">
        <v>427</v>
      </c>
      <c r="B62" s="279">
        <v>1</v>
      </c>
      <c r="C62" s="259">
        <v>123470561</v>
      </c>
      <c r="D62" s="259">
        <v>125751075.78191918</v>
      </c>
      <c r="E62" s="260">
        <v>120696767.42398737</v>
      </c>
      <c r="F62" s="261">
        <v>-7179590.7007879913</v>
      </c>
      <c r="G62" s="259">
        <v>105264214.13827309</v>
      </c>
      <c r="H62" s="260">
        <v>105264214.13827309</v>
      </c>
      <c r="I62" s="258">
        <v>105264214.13827309</v>
      </c>
      <c r="J62" s="262">
        <v>101673347.11642623</v>
      </c>
      <c r="K62" s="259">
        <v>100735164.07326856</v>
      </c>
      <c r="L62" s="260">
        <v>99892266.04152143</v>
      </c>
    </row>
    <row r="63" spans="1:12" ht="11.25" customHeight="1" x14ac:dyDescent="0.25">
      <c r="A63" s="180" t="s">
        <v>753</v>
      </c>
      <c r="B63" s="281"/>
      <c r="C63" s="205"/>
      <c r="D63" s="205"/>
      <c r="E63" s="256"/>
      <c r="F63" s="246"/>
      <c r="G63" s="205"/>
      <c r="H63" s="256"/>
      <c r="I63" s="208"/>
      <c r="J63" s="209"/>
      <c r="K63" s="205"/>
      <c r="L63" s="256"/>
    </row>
    <row r="64" spans="1:12" ht="11.25" customHeight="1" x14ac:dyDescent="0.25">
      <c r="A64" s="302" t="s">
        <v>105</v>
      </c>
      <c r="B64" s="279"/>
      <c r="C64" s="1030">
        <v>0</v>
      </c>
      <c r="D64" s="1030">
        <v>0</v>
      </c>
      <c r="E64" s="1065">
        <v>0</v>
      </c>
      <c r="F64" s="1066">
        <v>0</v>
      </c>
      <c r="G64" s="1030">
        <v>0</v>
      </c>
      <c r="H64" s="1065">
        <v>0</v>
      </c>
      <c r="I64" s="1067">
        <v>0</v>
      </c>
      <c r="J64" s="1031">
        <v>0</v>
      </c>
      <c r="K64" s="1030">
        <v>0</v>
      </c>
      <c r="L64" s="1065">
        <v>0</v>
      </c>
    </row>
    <row r="65" spans="1:12" ht="11.25" customHeight="1" x14ac:dyDescent="0.25">
      <c r="A65" s="302" t="s">
        <v>1512</v>
      </c>
      <c r="B65" s="279"/>
      <c r="C65" s="1030">
        <v>1059287</v>
      </c>
      <c r="D65" s="1030">
        <v>1059287</v>
      </c>
      <c r="E65" s="1065">
        <v>1059287</v>
      </c>
      <c r="F65" s="1066">
        <v>1425000</v>
      </c>
      <c r="G65" s="1030">
        <v>1059287</v>
      </c>
      <c r="H65" s="1065">
        <v>1059287</v>
      </c>
      <c r="I65" s="1067">
        <v>1059287</v>
      </c>
      <c r="J65" s="1031">
        <v>1059287</v>
      </c>
      <c r="K65" s="1030">
        <v>1059287</v>
      </c>
      <c r="L65" s="1065">
        <v>1059287</v>
      </c>
    </row>
    <row r="66" spans="1:12" ht="11.25" customHeight="1" x14ac:dyDescent="0.25">
      <c r="A66" s="302" t="s">
        <v>1513</v>
      </c>
      <c r="B66" s="279"/>
      <c r="C66" s="1030">
        <v>0</v>
      </c>
      <c r="D66" s="1030">
        <v>0</v>
      </c>
      <c r="E66" s="1065">
        <v>0</v>
      </c>
      <c r="F66" s="1066">
        <v>0</v>
      </c>
      <c r="G66" s="1030">
        <v>0</v>
      </c>
      <c r="H66" s="1065">
        <v>0</v>
      </c>
      <c r="I66" s="1067">
        <v>0</v>
      </c>
      <c r="J66" s="1031">
        <v>0</v>
      </c>
      <c r="K66" s="1030">
        <v>0</v>
      </c>
      <c r="L66" s="1065">
        <v>0</v>
      </c>
    </row>
    <row r="67" spans="1:12" ht="11.25" customHeight="1" x14ac:dyDescent="0.25">
      <c r="A67" s="1327" t="s">
        <v>2077</v>
      </c>
      <c r="B67" s="279"/>
      <c r="C67" s="1030">
        <v>0</v>
      </c>
      <c r="D67" s="1030">
        <v>0</v>
      </c>
      <c r="E67" s="1065">
        <v>0</v>
      </c>
      <c r="F67" s="1066">
        <v>0</v>
      </c>
      <c r="G67" s="1030">
        <v>0</v>
      </c>
      <c r="H67" s="1065">
        <v>0</v>
      </c>
      <c r="I67" s="1067">
        <v>0</v>
      </c>
      <c r="J67" s="1031">
        <v>0</v>
      </c>
      <c r="K67" s="1030">
        <v>0</v>
      </c>
      <c r="L67" s="1065">
        <v>0</v>
      </c>
    </row>
    <row r="68" spans="1:12" ht="11.25" customHeight="1" x14ac:dyDescent="0.25">
      <c r="A68" s="302" t="s">
        <v>1511</v>
      </c>
      <c r="B68" s="279"/>
      <c r="C68" s="1030">
        <v>0</v>
      </c>
      <c r="D68" s="1030">
        <v>0</v>
      </c>
      <c r="E68" s="1065">
        <v>0</v>
      </c>
      <c r="F68" s="1066">
        <v>0</v>
      </c>
      <c r="G68" s="1030">
        <v>0</v>
      </c>
      <c r="H68" s="1065">
        <v>0</v>
      </c>
      <c r="I68" s="1067">
        <v>0</v>
      </c>
      <c r="J68" s="1031">
        <v>0</v>
      </c>
      <c r="K68" s="1030">
        <v>0</v>
      </c>
      <c r="L68" s="1065">
        <v>0</v>
      </c>
    </row>
    <row r="69" spans="1:12" ht="11.25" customHeight="1" x14ac:dyDescent="0.25">
      <c r="A69" s="303" t="s">
        <v>1087</v>
      </c>
      <c r="B69" s="279">
        <v>2</v>
      </c>
      <c r="C69" s="259">
        <v>1059287</v>
      </c>
      <c r="D69" s="259">
        <v>1059287</v>
      </c>
      <c r="E69" s="260">
        <v>1059287</v>
      </c>
      <c r="F69" s="261">
        <v>1425000</v>
      </c>
      <c r="G69" s="259">
        <v>1059287</v>
      </c>
      <c r="H69" s="260">
        <v>1059287</v>
      </c>
      <c r="I69" s="258">
        <v>1059287</v>
      </c>
      <c r="J69" s="262">
        <v>1059287</v>
      </c>
      <c r="K69" s="259">
        <v>1059287</v>
      </c>
      <c r="L69" s="260">
        <v>1059287</v>
      </c>
    </row>
    <row r="70" spans="1:12" x14ac:dyDescent="0.25">
      <c r="A70" s="387" t="s">
        <v>1086</v>
      </c>
      <c r="B70" s="287">
        <v>2</v>
      </c>
      <c r="C70" s="224">
        <v>124529848</v>
      </c>
      <c r="D70" s="224">
        <v>126810362.78191918</v>
      </c>
      <c r="E70" s="320">
        <v>121756054.42398737</v>
      </c>
      <c r="F70" s="321">
        <v>-5754590.7007879913</v>
      </c>
      <c r="G70" s="224">
        <v>106323501.13827309</v>
      </c>
      <c r="H70" s="320">
        <v>106323501.13827309</v>
      </c>
      <c r="I70" s="223">
        <v>106323501.13827309</v>
      </c>
      <c r="J70" s="322">
        <v>102732634.11642623</v>
      </c>
      <c r="K70" s="224">
        <v>101794451.07326856</v>
      </c>
      <c r="L70" s="320">
        <v>100951553.04152143</v>
      </c>
    </row>
    <row r="71" spans="1:12" ht="5.0999999999999996" customHeight="1" x14ac:dyDescent="0.25">
      <c r="A71" s="233"/>
      <c r="B71" s="388"/>
      <c r="C71" s="234"/>
      <c r="D71" s="234"/>
      <c r="E71" s="234"/>
      <c r="F71" s="234"/>
      <c r="G71" s="234"/>
      <c r="H71" s="234"/>
      <c r="I71" s="234"/>
      <c r="J71" s="234"/>
      <c r="K71" s="234"/>
      <c r="L71" s="234"/>
    </row>
    <row r="72" spans="1:12" ht="13.5" x14ac:dyDescent="0.25">
      <c r="A72" s="146" t="s">
        <v>1354</v>
      </c>
      <c r="B72" s="146"/>
      <c r="C72" s="1997"/>
      <c r="D72" s="1997"/>
      <c r="E72" s="1997"/>
      <c r="F72" s="1997"/>
      <c r="G72" s="1997"/>
      <c r="H72" s="1997"/>
      <c r="I72" s="1997"/>
      <c r="J72" s="1997"/>
      <c r="K72" s="1997"/>
      <c r="L72" s="1997"/>
    </row>
    <row r="73" spans="1:12" x14ac:dyDescent="0.25">
      <c r="A73" s="389" t="s">
        <v>1474</v>
      </c>
      <c r="B73" s="390"/>
      <c r="C73" s="2227"/>
      <c r="D73" s="2227"/>
      <c r="E73" s="2228"/>
      <c r="F73" s="2229"/>
      <c r="G73" s="2227"/>
      <c r="H73" s="2228"/>
      <c r="I73" s="2230"/>
      <c r="J73" s="2231"/>
      <c r="K73" s="2227"/>
      <c r="L73" s="2228"/>
    </row>
    <row r="74" spans="1:12" x14ac:dyDescent="0.25">
      <c r="A74" s="1656"/>
      <c r="B74" s="232"/>
      <c r="C74" s="1030"/>
      <c r="D74" s="1030"/>
      <c r="E74" s="1065"/>
      <c r="F74" s="1066"/>
      <c r="G74" s="1030"/>
      <c r="H74" s="1065"/>
      <c r="I74" s="1067"/>
      <c r="J74" s="1031"/>
      <c r="K74" s="1030"/>
      <c r="L74" s="1065"/>
    </row>
    <row r="75" spans="1:12" x14ac:dyDescent="0.25">
      <c r="A75" s="1354"/>
      <c r="B75" s="309"/>
      <c r="C75" s="2232"/>
      <c r="D75" s="2232"/>
      <c r="E75" s="2233"/>
      <c r="F75" s="2234"/>
      <c r="G75" s="2232"/>
      <c r="H75" s="2233"/>
      <c r="I75" s="2235"/>
      <c r="J75" s="2236"/>
      <c r="K75" s="2232"/>
      <c r="L75" s="2233"/>
    </row>
    <row r="76" spans="1:12" ht="11.25" customHeight="1" x14ac:dyDescent="0.25">
      <c r="A76" s="231" t="s">
        <v>986</v>
      </c>
      <c r="B76" s="232"/>
      <c r="C76" s="234"/>
      <c r="D76" s="234"/>
      <c r="E76" s="234"/>
      <c r="F76" s="234"/>
      <c r="G76" s="234"/>
      <c r="H76" s="234"/>
      <c r="I76" s="234"/>
      <c r="J76" s="234"/>
      <c r="K76" s="234"/>
      <c r="L76" s="234"/>
    </row>
    <row r="77" spans="1:12" ht="11.25" customHeight="1" x14ac:dyDescent="0.25">
      <c r="A77" s="274" t="s">
        <v>2525</v>
      </c>
      <c r="B77" s="232"/>
      <c r="C77" s="233"/>
      <c r="D77" s="233"/>
      <c r="E77" s="234"/>
      <c r="F77" s="234"/>
      <c r="G77" s="234"/>
      <c r="H77" s="234"/>
      <c r="I77" s="234"/>
      <c r="J77" s="234"/>
      <c r="K77" s="234"/>
      <c r="L77" s="234"/>
    </row>
    <row r="78" spans="1:12" ht="11.25" customHeight="1" x14ac:dyDescent="0.25">
      <c r="A78" s="274" t="s">
        <v>2526</v>
      </c>
      <c r="B78" s="232"/>
      <c r="C78" s="233"/>
      <c r="D78" s="233"/>
      <c r="E78" s="234"/>
      <c r="F78" s="234"/>
      <c r="G78" s="234"/>
      <c r="H78" s="234"/>
      <c r="I78" s="234"/>
      <c r="J78" s="234"/>
      <c r="K78" s="234"/>
      <c r="L78" s="234"/>
    </row>
    <row r="79" spans="1:12" ht="11.25" customHeight="1" x14ac:dyDescent="0.25">
      <c r="A79" s="274" t="s">
        <v>1049</v>
      </c>
      <c r="B79" s="232"/>
      <c r="C79" s="233"/>
      <c r="D79" s="233"/>
      <c r="E79" s="234"/>
      <c r="F79" s="234"/>
      <c r="G79" s="234"/>
      <c r="H79" s="234"/>
      <c r="I79" s="234"/>
      <c r="J79" s="234"/>
      <c r="K79" s="234"/>
      <c r="L79" s="234"/>
    </row>
    <row r="80" spans="1:12" ht="11.25" customHeight="1" x14ac:dyDescent="0.25">
      <c r="A80" s="274" t="s">
        <v>774</v>
      </c>
    </row>
    <row r="81" spans="1:12" ht="11.25" customHeight="1" x14ac:dyDescent="0.25">
      <c r="A81" s="392" t="s">
        <v>1528</v>
      </c>
      <c r="C81" s="393">
        <v>0</v>
      </c>
      <c r="D81" s="393">
        <v>0</v>
      </c>
      <c r="E81" s="393">
        <v>0</v>
      </c>
      <c r="F81" s="393">
        <v>-7179590.7007879913</v>
      </c>
      <c r="G81" s="393">
        <v>0</v>
      </c>
      <c r="H81" s="393">
        <v>0</v>
      </c>
      <c r="I81" s="393">
        <v>0</v>
      </c>
      <c r="J81" s="393">
        <v>0</v>
      </c>
      <c r="K81" s="393">
        <v>0</v>
      </c>
      <c r="L81" s="393">
        <v>0</v>
      </c>
    </row>
    <row r="82" spans="1:12" ht="11.25" customHeight="1" x14ac:dyDescent="0.25">
      <c r="C82" s="663">
        <v>0</v>
      </c>
      <c r="D82" s="663">
        <v>0</v>
      </c>
      <c r="E82" s="663">
        <v>0</v>
      </c>
      <c r="F82" s="663">
        <v>0</v>
      </c>
      <c r="G82" s="663">
        <v>0</v>
      </c>
      <c r="H82" s="663">
        <v>0</v>
      </c>
      <c r="I82" s="663">
        <v>0</v>
      </c>
      <c r="J82" s="663"/>
      <c r="K82" s="663"/>
      <c r="L82" s="663"/>
    </row>
    <row r="83" spans="1:12" ht="11.25" customHeight="1" x14ac:dyDescent="0.25"/>
    <row r="84" spans="1:12" ht="11.25" customHeight="1" x14ac:dyDescent="0.25"/>
    <row r="85" spans="1:12" ht="11.25" customHeight="1" x14ac:dyDescent="0.25"/>
    <row r="86" spans="1:12" ht="11.25" customHeight="1" x14ac:dyDescent="0.25"/>
    <row r="87" spans="1:12" ht="11.25" customHeight="1" x14ac:dyDescent="0.25"/>
    <row r="88" spans="1:12" ht="11.25" customHeight="1" x14ac:dyDescent="0.25"/>
    <row r="89" spans="1:12" ht="11.25" customHeight="1" x14ac:dyDescent="0.25"/>
    <row r="90" spans="1:12" ht="11.25" customHeight="1" x14ac:dyDescent="0.25"/>
    <row r="91" spans="1:12" ht="11.25" customHeight="1" x14ac:dyDescent="0.25"/>
    <row r="92" spans="1:12" ht="11.25" customHeight="1" x14ac:dyDescent="0.25"/>
  </sheetData>
  <mergeCells count="4">
    <mergeCell ref="A2:A3"/>
    <mergeCell ref="B2:B3"/>
    <mergeCell ref="J2:L2"/>
    <mergeCell ref="F2:I2"/>
  </mergeCells>
  <phoneticPr fontId="4" type="noConversion"/>
  <dataValidations count="1">
    <dataValidation type="decimal" allowBlank="1" showInputMessage="1" showErrorMessage="1" sqref="C7:L8 C12:L13 C17:L19 C23:L25 C30:L31 C35:L37 C41:L42 C46:L46 C48:L49 C54:L55 C58:L61 C73:L75 C64:L68">
      <formula1>-99999999999999900000</formula1>
      <formula2>99999999999999900000</formula2>
    </dataValidation>
  </dataValidations>
  <pageMargins left="0.75" right="0.75" top="1" bottom="1" header="0.5" footer="0.5"/>
  <pageSetup scale="7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enableFormatConditionsCalculation="0">
    <tabColor indexed="42"/>
    <pageSetUpPr fitToPage="1"/>
  </sheetPr>
  <dimension ref="A1:V25"/>
  <sheetViews>
    <sheetView showGridLines="0" tabSelected="1" workbookViewId="0">
      <pane xSplit="4" ySplit="3" topLeftCell="E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2" width="18.7109375" style="338" customWidth="1"/>
    <col min="3" max="3" width="5" style="338" customWidth="1"/>
    <col min="4" max="4" width="3" style="1928" customWidth="1"/>
    <col min="5" max="13" width="9.28515625" style="338" customWidth="1"/>
    <col min="14" max="14" width="32.7109375" style="148" bestFit="1" customWidth="1"/>
    <col min="15" max="15" width="1.5703125" style="148" customWidth="1"/>
    <col min="16" max="20" width="7.85546875" style="148" bestFit="1" customWidth="1"/>
    <col min="21" max="24" width="8.7109375" style="148" bestFit="1" customWidth="1"/>
    <col min="25" max="26" width="9.85546875" style="148" customWidth="1"/>
    <col min="27" max="16384" width="9.140625" style="148"/>
  </cols>
  <sheetData>
    <row r="1" spans="1:22" s="178" customFormat="1" x14ac:dyDescent="0.2">
      <c r="A1" s="1997" t="s">
        <v>2527</v>
      </c>
      <c r="B1" s="1997"/>
      <c r="C1" s="1997"/>
      <c r="D1" s="1997"/>
      <c r="E1" s="1997"/>
      <c r="F1" s="1997"/>
      <c r="G1" s="1997"/>
      <c r="H1" s="1997"/>
      <c r="I1" s="1997"/>
      <c r="J1" s="1997"/>
      <c r="K1" s="1997"/>
      <c r="L1" s="1997"/>
      <c r="M1" s="1997"/>
    </row>
    <row r="2" spans="1:22" ht="28.5" customHeight="1" x14ac:dyDescent="0.25">
      <c r="A2" s="2010" t="s">
        <v>978</v>
      </c>
      <c r="B2" s="2001" t="s">
        <v>1355</v>
      </c>
      <c r="C2" s="2008" t="s">
        <v>2068</v>
      </c>
      <c r="D2" s="2729" t="s">
        <v>429</v>
      </c>
      <c r="E2" s="1995" t="s">
        <v>2478</v>
      </c>
      <c r="F2" s="149" t="s">
        <v>2479</v>
      </c>
      <c r="G2" s="1996" t="s">
        <v>2480</v>
      </c>
      <c r="H2" s="2700" t="s">
        <v>2481</v>
      </c>
      <c r="I2" s="2701"/>
      <c r="J2" s="2705"/>
      <c r="K2" s="2697" t="s">
        <v>2482</v>
      </c>
      <c r="L2" s="2698"/>
      <c r="M2" s="2699"/>
    </row>
    <row r="3" spans="1:22" ht="25.5" x14ac:dyDescent="0.25">
      <c r="A3" s="792" t="s">
        <v>667</v>
      </c>
      <c r="B3" s="791"/>
      <c r="C3" s="791"/>
      <c r="D3" s="2735"/>
      <c r="E3" s="2018" t="s">
        <v>1065</v>
      </c>
      <c r="F3" s="2009" t="s">
        <v>1065</v>
      </c>
      <c r="G3" s="354" t="s">
        <v>1065</v>
      </c>
      <c r="H3" s="2004" t="s">
        <v>467</v>
      </c>
      <c r="I3" s="2009" t="s">
        <v>1807</v>
      </c>
      <c r="J3" s="354" t="s">
        <v>1808</v>
      </c>
      <c r="K3" s="2004" t="s">
        <v>2483</v>
      </c>
      <c r="L3" s="2009" t="s">
        <v>2484</v>
      </c>
      <c r="M3" s="354" t="s">
        <v>2485</v>
      </c>
    </row>
    <row r="4" spans="1:22" ht="51" x14ac:dyDescent="0.25">
      <c r="A4" s="2237" t="s">
        <v>2437</v>
      </c>
      <c r="B4" s="2238" t="s">
        <v>2438</v>
      </c>
      <c r="C4" s="2238" t="s">
        <v>409</v>
      </c>
      <c r="D4" s="422"/>
      <c r="E4" s="2239">
        <v>263542.83</v>
      </c>
      <c r="F4" s="2239">
        <v>302441.71000000008</v>
      </c>
      <c r="G4" s="2240">
        <v>691999.75</v>
      </c>
      <c r="H4" s="2241">
        <v>873000</v>
      </c>
      <c r="I4" s="2239">
        <v>1066000</v>
      </c>
      <c r="J4" s="2242">
        <v>1066000</v>
      </c>
      <c r="K4" s="2243">
        <v>1423300</v>
      </c>
      <c r="L4" s="2239">
        <v>1717938</v>
      </c>
      <c r="M4" s="2240">
        <v>1969114.28</v>
      </c>
      <c r="N4" s="240"/>
      <c r="O4" s="240"/>
      <c r="P4" s="240"/>
      <c r="Q4" s="240"/>
      <c r="R4" s="240"/>
      <c r="S4" s="240"/>
      <c r="T4" s="240"/>
      <c r="U4" s="240"/>
      <c r="V4" s="395"/>
    </row>
    <row r="5" spans="1:22" ht="76.5" x14ac:dyDescent="0.25">
      <c r="A5" s="2237" t="s">
        <v>2439</v>
      </c>
      <c r="B5" s="2238" t="s">
        <v>2440</v>
      </c>
      <c r="C5" s="2238" t="s">
        <v>1344</v>
      </c>
      <c r="D5" s="422"/>
      <c r="E5" s="2239">
        <v>1493289.4</v>
      </c>
      <c r="F5" s="2239">
        <v>1992158.5290000001</v>
      </c>
      <c r="G5" s="2240">
        <v>2099531.8899999997</v>
      </c>
      <c r="H5" s="2241">
        <v>95400</v>
      </c>
      <c r="I5" s="2239">
        <v>9623500</v>
      </c>
      <c r="J5" s="2242">
        <v>9623500</v>
      </c>
      <c r="K5" s="2243">
        <v>11597000</v>
      </c>
      <c r="L5" s="2239">
        <v>12233220</v>
      </c>
      <c r="M5" s="2240">
        <v>12940753.200000001</v>
      </c>
      <c r="N5" s="240"/>
      <c r="O5" s="240"/>
      <c r="P5" s="240"/>
      <c r="Q5" s="240"/>
      <c r="R5" s="240"/>
      <c r="S5" s="240"/>
      <c r="T5" s="240"/>
      <c r="U5" s="240"/>
    </row>
    <row r="6" spans="1:22" ht="89.25" x14ac:dyDescent="0.25">
      <c r="A6" s="2237" t="s">
        <v>2441</v>
      </c>
      <c r="B6" s="2238" t="s">
        <v>2442</v>
      </c>
      <c r="C6" s="2238" t="s">
        <v>498</v>
      </c>
      <c r="D6" s="422"/>
      <c r="E6" s="2239">
        <v>9193265.0700000003</v>
      </c>
      <c r="F6" s="2239">
        <v>7805458.0899999989</v>
      </c>
      <c r="G6" s="2240">
        <v>8018973.6399999997</v>
      </c>
      <c r="H6" s="2241">
        <v>5315061</v>
      </c>
      <c r="I6" s="2239">
        <v>6924255</v>
      </c>
      <c r="J6" s="2242">
        <v>6924255</v>
      </c>
      <c r="K6" s="2243">
        <v>10206003.952679999</v>
      </c>
      <c r="L6" s="2239">
        <v>10818364.189840801</v>
      </c>
      <c r="M6" s="2240">
        <v>11467466.037231252</v>
      </c>
      <c r="N6" s="240"/>
      <c r="O6" s="240"/>
      <c r="P6" s="240"/>
      <c r="Q6" s="240"/>
      <c r="R6" s="240"/>
      <c r="S6" s="240"/>
      <c r="T6" s="240"/>
      <c r="U6" s="240"/>
    </row>
    <row r="7" spans="1:22" ht="89.25" x14ac:dyDescent="0.25">
      <c r="A7" s="2237"/>
      <c r="B7" s="2238" t="s">
        <v>2443</v>
      </c>
      <c r="C7" s="2238" t="s">
        <v>548</v>
      </c>
      <c r="D7" s="422"/>
      <c r="E7" s="2239">
        <v>5453948.8199999994</v>
      </c>
      <c r="F7" s="2239">
        <v>12280215.235000003</v>
      </c>
      <c r="G7" s="2240">
        <v>4036733.3700000006</v>
      </c>
      <c r="H7" s="2241">
        <v>2116520</v>
      </c>
      <c r="I7" s="2239">
        <v>3485084</v>
      </c>
      <c r="J7" s="2242">
        <v>3485084</v>
      </c>
      <c r="K7" s="2243">
        <v>3458423</v>
      </c>
      <c r="L7" s="2239">
        <v>3665928.38</v>
      </c>
      <c r="M7" s="2240">
        <v>3885884.0828</v>
      </c>
      <c r="N7" s="240"/>
      <c r="O7" s="240"/>
      <c r="P7" s="240"/>
      <c r="Q7" s="240"/>
      <c r="R7" s="240"/>
      <c r="S7" s="240"/>
      <c r="T7" s="240"/>
      <c r="U7" s="240"/>
    </row>
    <row r="8" spans="1:22" ht="114.75" x14ac:dyDescent="0.25">
      <c r="A8" s="2237"/>
      <c r="B8" s="2238" t="s">
        <v>2451</v>
      </c>
      <c r="C8" s="2238" t="s">
        <v>1558</v>
      </c>
      <c r="D8" s="422"/>
      <c r="E8" s="2239">
        <v>4377778.3600000003</v>
      </c>
      <c r="F8" s="2239">
        <v>3978824.9400000004</v>
      </c>
      <c r="G8" s="2240">
        <v>5439052.1299999999</v>
      </c>
      <c r="H8" s="2241">
        <v>4195866</v>
      </c>
      <c r="I8" s="2239">
        <v>4224464</v>
      </c>
      <c r="J8" s="2242">
        <v>4224464</v>
      </c>
      <c r="K8" s="2243">
        <v>7787632.0241599996</v>
      </c>
      <c r="L8" s="2239">
        <v>8254889.9456096003</v>
      </c>
      <c r="M8" s="2240">
        <v>8750183.3403461799</v>
      </c>
      <c r="N8" s="240"/>
      <c r="O8" s="240"/>
      <c r="P8" s="240"/>
      <c r="Q8" s="240"/>
      <c r="R8" s="240"/>
      <c r="S8" s="240"/>
      <c r="T8" s="240"/>
      <c r="U8" s="240"/>
    </row>
    <row r="9" spans="1:22" ht="63.75" x14ac:dyDescent="0.25">
      <c r="A9" s="2237" t="s">
        <v>2444</v>
      </c>
      <c r="B9" s="2238" t="s">
        <v>2445</v>
      </c>
      <c r="C9" s="2238" t="s">
        <v>1559</v>
      </c>
      <c r="D9" s="422"/>
      <c r="E9" s="2239">
        <v>15578511.1538</v>
      </c>
      <c r="F9" s="2239">
        <v>16604239.019999998</v>
      </c>
      <c r="G9" s="2240">
        <v>20181732.539700001</v>
      </c>
      <c r="H9" s="2241">
        <v>715000</v>
      </c>
      <c r="I9" s="2239">
        <v>17625500</v>
      </c>
      <c r="J9" s="2242">
        <v>17625500</v>
      </c>
      <c r="K9" s="2243">
        <v>20664100</v>
      </c>
      <c r="L9" s="2239">
        <v>21903946</v>
      </c>
      <c r="M9" s="2240">
        <v>23218182.759999998</v>
      </c>
      <c r="N9" s="240"/>
      <c r="O9" s="240"/>
      <c r="P9" s="240"/>
      <c r="Q9" s="240"/>
      <c r="R9" s="240"/>
      <c r="S9" s="240"/>
      <c r="T9" s="240"/>
      <c r="U9" s="240"/>
    </row>
    <row r="10" spans="1:22" ht="53.25" customHeight="1" x14ac:dyDescent="0.25">
      <c r="A10" s="2237"/>
      <c r="B10" s="2238" t="s">
        <v>2446</v>
      </c>
      <c r="C10" s="2238" t="s">
        <v>1560</v>
      </c>
      <c r="D10" s="422"/>
      <c r="E10" s="2239">
        <v>492423.89</v>
      </c>
      <c r="F10" s="2239">
        <v>21280</v>
      </c>
      <c r="G10" s="2240">
        <v>15105</v>
      </c>
      <c r="H10" s="2241">
        <v>12000</v>
      </c>
      <c r="I10" s="2239">
        <v>12000</v>
      </c>
      <c r="J10" s="2242">
        <v>12000</v>
      </c>
      <c r="K10" s="2243">
        <v>6000</v>
      </c>
      <c r="L10" s="2239">
        <v>6360</v>
      </c>
      <c r="M10" s="2240">
        <v>6741.6</v>
      </c>
      <c r="N10" s="240"/>
      <c r="O10" s="240"/>
      <c r="P10" s="240"/>
      <c r="Q10" s="240"/>
      <c r="R10" s="240"/>
      <c r="S10" s="240"/>
      <c r="T10" s="240"/>
      <c r="U10" s="240"/>
    </row>
    <row r="11" spans="1:22" ht="102" x14ac:dyDescent="0.25">
      <c r="A11" s="2237" t="s">
        <v>2447</v>
      </c>
      <c r="B11" s="2238" t="s">
        <v>2448</v>
      </c>
      <c r="C11" s="2238" t="s">
        <v>562</v>
      </c>
      <c r="D11" s="422"/>
      <c r="E11" s="2239">
        <v>32679776.437341277</v>
      </c>
      <c r="F11" s="2239">
        <v>19607723.618112948</v>
      </c>
      <c r="G11" s="2240">
        <v>20370443.278171964</v>
      </c>
      <c r="H11" s="2241">
        <v>40925898.829999998</v>
      </c>
      <c r="I11" s="2239">
        <v>24400188</v>
      </c>
      <c r="J11" s="2242">
        <v>24400188</v>
      </c>
      <c r="K11" s="2243">
        <v>27552461.085644267</v>
      </c>
      <c r="L11" s="2239">
        <v>29601068.750782922</v>
      </c>
      <c r="M11" s="2240">
        <v>31523432.875829905</v>
      </c>
      <c r="N11" s="240"/>
      <c r="O11" s="240"/>
      <c r="P11" s="240"/>
      <c r="Q11" s="240"/>
      <c r="R11" s="240"/>
      <c r="S11" s="240"/>
      <c r="T11" s="240"/>
      <c r="U11" s="240"/>
    </row>
    <row r="12" spans="1:22" ht="25.5" x14ac:dyDescent="0.25">
      <c r="A12" s="2237" t="s">
        <v>1802</v>
      </c>
      <c r="B12" s="2238" t="s">
        <v>2450</v>
      </c>
      <c r="C12" s="2238" t="s">
        <v>563</v>
      </c>
      <c r="D12" s="422"/>
      <c r="E12" s="2239">
        <v>137600</v>
      </c>
      <c r="F12" s="2239">
        <v>68600</v>
      </c>
      <c r="G12" s="2240">
        <v>8800</v>
      </c>
      <c r="H12" s="2241">
        <v>149600</v>
      </c>
      <c r="I12" s="2239">
        <v>9600</v>
      </c>
      <c r="J12" s="2242">
        <v>9600</v>
      </c>
      <c r="K12" s="2243">
        <v>10000</v>
      </c>
      <c r="L12" s="2239">
        <v>10600</v>
      </c>
      <c r="M12" s="2240">
        <v>11236</v>
      </c>
      <c r="N12" s="240"/>
      <c r="O12" s="240"/>
      <c r="P12" s="240"/>
      <c r="Q12" s="240"/>
      <c r="R12" s="240"/>
      <c r="S12" s="240"/>
      <c r="T12" s="240"/>
      <c r="U12" s="240"/>
    </row>
    <row r="13" spans="1:22" ht="38.25" x14ac:dyDescent="0.25">
      <c r="A13" s="2237" t="s">
        <v>2449</v>
      </c>
      <c r="B13" s="2238" t="s">
        <v>2452</v>
      </c>
      <c r="C13" s="2238" t="s">
        <v>943</v>
      </c>
      <c r="D13" s="422"/>
      <c r="E13" s="2239">
        <v>0</v>
      </c>
      <c r="F13" s="2239">
        <v>190479.12000000002</v>
      </c>
      <c r="G13" s="2240">
        <v>7789.45</v>
      </c>
      <c r="H13" s="2241">
        <v>2000</v>
      </c>
      <c r="I13" s="2239">
        <v>2000</v>
      </c>
      <c r="J13" s="2242">
        <v>2000</v>
      </c>
      <c r="K13" s="2243">
        <v>2000</v>
      </c>
      <c r="L13" s="2239">
        <v>2120</v>
      </c>
      <c r="M13" s="2240">
        <v>2247.2000000000003</v>
      </c>
      <c r="N13" s="240"/>
      <c r="O13" s="240"/>
      <c r="P13" s="240"/>
      <c r="Q13" s="240"/>
      <c r="R13" s="240"/>
      <c r="S13" s="240"/>
      <c r="T13" s="240"/>
      <c r="U13" s="240"/>
    </row>
    <row r="14" spans="1:22" x14ac:dyDescent="0.25">
      <c r="A14" s="2237"/>
      <c r="B14" s="2238"/>
      <c r="C14" s="2238"/>
      <c r="D14" s="422"/>
      <c r="E14" s="2239"/>
      <c r="F14" s="2239"/>
      <c r="G14" s="2240"/>
      <c r="H14" s="2241"/>
      <c r="I14" s="2239"/>
      <c r="J14" s="2242"/>
      <c r="K14" s="2243"/>
      <c r="L14" s="2239"/>
      <c r="M14" s="2240"/>
      <c r="N14" s="240"/>
      <c r="O14" s="240"/>
      <c r="P14" s="240"/>
      <c r="Q14" s="240"/>
      <c r="R14" s="240"/>
      <c r="S14" s="240"/>
      <c r="T14" s="240"/>
      <c r="U14" s="240"/>
    </row>
    <row r="15" spans="1:22" x14ac:dyDescent="0.25">
      <c r="A15" s="2237"/>
      <c r="B15" s="2238"/>
      <c r="C15" s="2238"/>
      <c r="D15" s="422"/>
      <c r="E15" s="2239"/>
      <c r="F15" s="2239"/>
      <c r="G15" s="2240"/>
      <c r="H15" s="2241"/>
      <c r="I15" s="2239"/>
      <c r="J15" s="2242"/>
      <c r="K15" s="2243"/>
      <c r="L15" s="2239"/>
      <c r="M15" s="2240"/>
      <c r="N15" s="240"/>
      <c r="O15" s="240"/>
      <c r="P15" s="240"/>
      <c r="Q15" s="240"/>
      <c r="R15" s="240"/>
      <c r="S15" s="240"/>
      <c r="T15" s="240"/>
      <c r="U15" s="240"/>
    </row>
    <row r="16" spans="1:22" x14ac:dyDescent="0.25">
      <c r="A16" s="2237"/>
      <c r="B16" s="2238"/>
      <c r="C16" s="2238"/>
      <c r="D16" s="422"/>
      <c r="E16" s="2239"/>
      <c r="F16" s="2239"/>
      <c r="G16" s="2240"/>
      <c r="H16" s="2241"/>
      <c r="I16" s="2239"/>
      <c r="J16" s="2242"/>
      <c r="K16" s="2243"/>
      <c r="L16" s="2239"/>
      <c r="M16" s="2240"/>
      <c r="N16" s="240"/>
      <c r="O16" s="240"/>
      <c r="P16" s="240"/>
      <c r="Q16" s="240"/>
      <c r="R16" s="240"/>
      <c r="S16" s="240"/>
      <c r="T16" s="240"/>
      <c r="U16" s="240"/>
    </row>
    <row r="17" spans="1:21" x14ac:dyDescent="0.25">
      <c r="A17" s="2237"/>
      <c r="B17" s="2238"/>
      <c r="C17" s="2238"/>
      <c r="D17" s="422"/>
      <c r="E17" s="2239"/>
      <c r="F17" s="2239"/>
      <c r="G17" s="2240"/>
      <c r="H17" s="2241"/>
      <c r="I17" s="2239"/>
      <c r="J17" s="2242"/>
      <c r="K17" s="2243"/>
      <c r="L17" s="2239"/>
      <c r="M17" s="2240"/>
      <c r="N17" s="240"/>
      <c r="O17" s="240"/>
      <c r="P17" s="240"/>
      <c r="Q17" s="240"/>
      <c r="R17" s="240"/>
      <c r="S17" s="240"/>
      <c r="T17" s="240"/>
      <c r="U17" s="240"/>
    </row>
    <row r="18" spans="1:21" x14ac:dyDescent="0.25">
      <c r="A18" s="1791" t="s">
        <v>2074</v>
      </c>
      <c r="B18" s="1792"/>
      <c r="C18" s="1793"/>
      <c r="D18" s="422">
        <v>2</v>
      </c>
      <c r="E18" s="2244"/>
      <c r="F18" s="2244"/>
      <c r="G18" s="2245"/>
      <c r="H18" s="2246"/>
      <c r="I18" s="2244"/>
      <c r="J18" s="2247"/>
      <c r="K18" s="2248"/>
      <c r="L18" s="2244"/>
      <c r="M18" s="2245"/>
      <c r="N18" s="240"/>
      <c r="O18" s="240"/>
      <c r="P18" s="240"/>
      <c r="Q18" s="240"/>
      <c r="R18" s="240"/>
      <c r="S18" s="240"/>
      <c r="T18" s="240"/>
      <c r="U18" s="240"/>
    </row>
    <row r="19" spans="1:21" ht="12.75" customHeight="1" x14ac:dyDescent="0.25">
      <c r="A19" s="2206" t="s">
        <v>1048</v>
      </c>
      <c r="B19" s="2249"/>
      <c r="C19" s="2249"/>
      <c r="D19" s="2207">
        <v>1</v>
      </c>
      <c r="E19" s="224">
        <v>69670135.961141273</v>
      </c>
      <c r="F19" s="224">
        <v>62851420.262112953</v>
      </c>
      <c r="G19" s="320">
        <v>60870161.04787197</v>
      </c>
      <c r="H19" s="321">
        <v>54400345.829999998</v>
      </c>
      <c r="I19" s="224">
        <v>67372591</v>
      </c>
      <c r="J19" s="223">
        <v>67372591</v>
      </c>
      <c r="K19" s="322">
        <v>82706920.062484264</v>
      </c>
      <c r="L19" s="224">
        <v>88214435.266233325</v>
      </c>
      <c r="M19" s="320">
        <v>93775241.376207337</v>
      </c>
    </row>
    <row r="20" spans="1:21" s="625" customFormat="1" x14ac:dyDescent="0.25">
      <c r="A20" s="2223" t="s">
        <v>986</v>
      </c>
      <c r="B20" s="2083"/>
      <c r="C20" s="2083"/>
      <c r="D20" s="1927"/>
      <c r="E20" s="839"/>
      <c r="F20" s="839"/>
      <c r="G20" s="839"/>
      <c r="H20" s="839"/>
      <c r="I20" s="839"/>
      <c r="J20" s="839"/>
      <c r="K20" s="839"/>
      <c r="L20" s="839"/>
      <c r="M20" s="839"/>
    </row>
    <row r="21" spans="1:21" s="625" customFormat="1" x14ac:dyDescent="0.25">
      <c r="A21" s="931" t="s">
        <v>2528</v>
      </c>
      <c r="B21" s="851"/>
      <c r="C21" s="851"/>
      <c r="D21" s="1927"/>
      <c r="E21" s="839"/>
      <c r="F21" s="2083"/>
      <c r="G21" s="839"/>
      <c r="H21" s="839"/>
      <c r="I21" s="839"/>
      <c r="J21" s="839"/>
      <c r="K21" s="839"/>
      <c r="L21" s="839"/>
      <c r="M21" s="839"/>
    </row>
    <row r="22" spans="1:21" x14ac:dyDescent="0.25">
      <c r="A22" s="338" t="s">
        <v>2075</v>
      </c>
    </row>
    <row r="23" spans="1:21" x14ac:dyDescent="0.25">
      <c r="A23" s="2047" t="s">
        <v>981</v>
      </c>
      <c r="B23" s="328"/>
      <c r="C23" s="328"/>
      <c r="D23" s="388"/>
      <c r="E23" s="208">
        <v>0</v>
      </c>
      <c r="F23" s="208">
        <v>0</v>
      </c>
      <c r="G23" s="253">
        <v>0</v>
      </c>
      <c r="H23" s="253">
        <v>-8292628.0186000019</v>
      </c>
      <c r="I23" s="253">
        <v>0</v>
      </c>
      <c r="J23" s="253">
        <v>0</v>
      </c>
      <c r="K23" s="253">
        <v>0</v>
      </c>
      <c r="L23" s="253">
        <v>0</v>
      </c>
      <c r="M23" s="253">
        <v>0</v>
      </c>
    </row>
    <row r="24" spans="1:21" x14ac:dyDescent="0.25">
      <c r="E24" s="2250"/>
    </row>
    <row r="25" spans="1:21" x14ac:dyDescent="0.25">
      <c r="E25" s="2250"/>
    </row>
  </sheetData>
  <mergeCells count="3">
    <mergeCell ref="H2:J2"/>
    <mergeCell ref="K2:M2"/>
    <mergeCell ref="D2:D3"/>
  </mergeCells>
  <phoneticPr fontId="4" type="noConversion"/>
  <pageMargins left="0.75" right="0.75" top="1" bottom="1" header="0.5" footer="0.5"/>
  <pageSetup scale="7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enableFormatConditionsCalculation="0">
    <tabColor indexed="42"/>
    <pageSetUpPr fitToPage="1"/>
  </sheetPr>
  <dimension ref="A1:Y29"/>
  <sheetViews>
    <sheetView showGridLines="0" tabSelected="1" workbookViewId="0">
      <pane xSplit="4" ySplit="3" topLeftCell="E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2" width="18.7109375" style="338" customWidth="1"/>
    <col min="3" max="3" width="5.28515625" style="338" customWidth="1"/>
    <col min="4" max="4" width="3" style="1928" customWidth="1"/>
    <col min="5" max="13" width="9.28515625" style="338" customWidth="1"/>
    <col min="14" max="14" width="32.7109375" style="148" bestFit="1" customWidth="1"/>
    <col min="15" max="15" width="1.5703125" style="148" customWidth="1"/>
    <col min="16" max="17" width="8" style="148" bestFit="1" customWidth="1"/>
    <col min="18" max="18" width="8.42578125" style="148" bestFit="1" customWidth="1"/>
    <col min="19" max="20" width="8" style="148" bestFit="1" customWidth="1"/>
    <col min="21" max="24" width="8.85546875" style="148" bestFit="1" customWidth="1"/>
    <col min="25" max="26" width="9.85546875" style="148" customWidth="1"/>
    <col min="27" max="16384" width="9.140625" style="148"/>
  </cols>
  <sheetData>
    <row r="1" spans="1:25" ht="13.5" x14ac:dyDescent="0.25">
      <c r="A1" s="1997" t="s">
        <v>2529</v>
      </c>
      <c r="B1" s="1997"/>
      <c r="C1" s="1997"/>
      <c r="D1" s="1997"/>
      <c r="E1" s="1997"/>
      <c r="F1" s="1997"/>
      <c r="G1" s="1997"/>
      <c r="H1" s="1997"/>
      <c r="I1" s="1997"/>
      <c r="J1" s="1997"/>
      <c r="K1" s="1997"/>
      <c r="L1" s="1997"/>
      <c r="M1" s="1997"/>
      <c r="N1" s="241"/>
      <c r="O1" s="241"/>
      <c r="P1" s="241"/>
      <c r="Q1" s="241"/>
    </row>
    <row r="2" spans="1:25" ht="28.5" customHeight="1" x14ac:dyDescent="0.25">
      <c r="A2" s="2010" t="s">
        <v>978</v>
      </c>
      <c r="B2" s="2001" t="s">
        <v>1355</v>
      </c>
      <c r="C2" s="2008" t="s">
        <v>2068</v>
      </c>
      <c r="D2" s="2729" t="s">
        <v>429</v>
      </c>
      <c r="E2" s="1995" t="s">
        <v>2478</v>
      </c>
      <c r="F2" s="149" t="s">
        <v>2479</v>
      </c>
      <c r="G2" s="1996" t="s">
        <v>2480</v>
      </c>
      <c r="H2" s="2700" t="s">
        <v>2481</v>
      </c>
      <c r="I2" s="2701"/>
      <c r="J2" s="2705"/>
      <c r="K2" s="2697" t="s">
        <v>2482</v>
      </c>
      <c r="L2" s="2698"/>
      <c r="M2" s="2699"/>
      <c r="N2" s="241"/>
      <c r="O2" s="241"/>
      <c r="P2" s="241"/>
      <c r="Q2" s="241"/>
    </row>
    <row r="3" spans="1:25" ht="25.5" x14ac:dyDescent="0.25">
      <c r="A3" s="792" t="s">
        <v>667</v>
      </c>
      <c r="B3" s="791"/>
      <c r="C3" s="791"/>
      <c r="D3" s="2735"/>
      <c r="E3" s="2018" t="s">
        <v>1065</v>
      </c>
      <c r="F3" s="2009" t="s">
        <v>1065</v>
      </c>
      <c r="G3" s="354" t="s">
        <v>1065</v>
      </c>
      <c r="H3" s="2004" t="s">
        <v>467</v>
      </c>
      <c r="I3" s="2009" t="s">
        <v>1807</v>
      </c>
      <c r="J3" s="354" t="s">
        <v>1808</v>
      </c>
      <c r="K3" s="2004" t="s">
        <v>2483</v>
      </c>
      <c r="L3" s="2009" t="s">
        <v>2484</v>
      </c>
      <c r="M3" s="354" t="s">
        <v>2485</v>
      </c>
      <c r="N3" s="241"/>
      <c r="O3" s="241"/>
      <c r="P3" s="241"/>
      <c r="Q3" s="241"/>
    </row>
    <row r="4" spans="1:25" ht="51" x14ac:dyDescent="0.25">
      <c r="A4" s="2237" t="s">
        <v>2437</v>
      </c>
      <c r="B4" s="2238" t="s">
        <v>2438</v>
      </c>
      <c r="C4" s="2238" t="s">
        <v>409</v>
      </c>
      <c r="D4" s="422"/>
      <c r="E4" s="2239">
        <v>3380476.3800000004</v>
      </c>
      <c r="F4" s="2239">
        <v>3858513.4914259491</v>
      </c>
      <c r="G4" s="2240">
        <v>3816751.8799999994</v>
      </c>
      <c r="H4" s="2241">
        <v>4277883.5493879998</v>
      </c>
      <c r="I4" s="2239">
        <v>5215333</v>
      </c>
      <c r="J4" s="2242">
        <v>5215333</v>
      </c>
      <c r="K4" s="2243">
        <v>7277657.0223940797</v>
      </c>
      <c r="L4" s="2239">
        <v>5594316.4437377248</v>
      </c>
      <c r="M4" s="2240">
        <v>5929975.4303619899</v>
      </c>
      <c r="N4" s="396"/>
      <c r="O4" s="396"/>
      <c r="P4" s="250"/>
      <c r="Q4" s="250"/>
      <c r="R4" s="250"/>
      <c r="S4" s="250"/>
      <c r="T4" s="250"/>
      <c r="U4" s="250"/>
      <c r="V4" s="250"/>
      <c r="W4" s="250"/>
      <c r="X4" s="250"/>
      <c r="Y4" s="397"/>
    </row>
    <row r="5" spans="1:25" ht="76.5" x14ac:dyDescent="0.25">
      <c r="A5" s="2237" t="s">
        <v>2439</v>
      </c>
      <c r="B5" s="2238" t="s">
        <v>2440</v>
      </c>
      <c r="C5" s="2238" t="s">
        <v>1344</v>
      </c>
      <c r="D5" s="422"/>
      <c r="E5" s="2239">
        <v>4782108.4818619583</v>
      </c>
      <c r="F5" s="2239">
        <v>7077618.7164780824</v>
      </c>
      <c r="G5" s="2240">
        <v>10684757.439999998</v>
      </c>
      <c r="H5" s="2241">
        <v>7059156</v>
      </c>
      <c r="I5" s="2239">
        <v>7989335</v>
      </c>
      <c r="J5" s="2242">
        <v>7989335</v>
      </c>
      <c r="K5" s="2243">
        <v>12970774.391064001</v>
      </c>
      <c r="L5" s="2239">
        <v>13749020.85452784</v>
      </c>
      <c r="M5" s="2240">
        <v>14573962.105799511</v>
      </c>
      <c r="N5" s="398"/>
      <c r="O5" s="398"/>
      <c r="P5" s="250"/>
      <c r="Q5" s="250"/>
      <c r="R5" s="250"/>
      <c r="S5" s="250"/>
      <c r="T5" s="250"/>
      <c r="U5" s="250"/>
      <c r="V5" s="250"/>
      <c r="W5" s="250"/>
      <c r="X5" s="250"/>
    </row>
    <row r="6" spans="1:25" ht="89.25" x14ac:dyDescent="0.25">
      <c r="A6" s="2237" t="s">
        <v>2441</v>
      </c>
      <c r="B6" s="2238" t="s">
        <v>2442</v>
      </c>
      <c r="C6" s="2238" t="s">
        <v>498</v>
      </c>
      <c r="D6" s="422"/>
      <c r="E6" s="2239">
        <v>5752859.9772365438</v>
      </c>
      <c r="F6" s="2239">
        <v>8010450.4925565645</v>
      </c>
      <c r="G6" s="2240">
        <v>9569701.9399999995</v>
      </c>
      <c r="H6" s="2241">
        <v>12312049</v>
      </c>
      <c r="I6" s="2239">
        <v>14022486</v>
      </c>
      <c r="J6" s="2242">
        <v>14022486</v>
      </c>
      <c r="K6" s="2243">
        <v>14099010.668808</v>
      </c>
      <c r="L6" s="2239">
        <v>14944951.30893648</v>
      </c>
      <c r="M6" s="2240">
        <v>15841648.387472671</v>
      </c>
      <c r="N6" s="398"/>
      <c r="O6" s="398"/>
      <c r="P6" s="250"/>
      <c r="Q6" s="250"/>
      <c r="R6" s="250"/>
      <c r="S6" s="250"/>
      <c r="T6" s="250"/>
      <c r="U6" s="250"/>
      <c r="V6" s="250"/>
      <c r="W6" s="250"/>
      <c r="X6" s="250"/>
    </row>
    <row r="7" spans="1:25" ht="89.25" x14ac:dyDescent="0.25">
      <c r="A7" s="2237"/>
      <c r="B7" s="2238" t="s">
        <v>2443</v>
      </c>
      <c r="C7" s="2238" t="s">
        <v>548</v>
      </c>
      <c r="D7" s="422"/>
      <c r="E7" s="2239">
        <v>4991198.3595011821</v>
      </c>
      <c r="F7" s="2239">
        <v>5404811.2172535928</v>
      </c>
      <c r="G7" s="2240">
        <v>5497506.4400000004</v>
      </c>
      <c r="H7" s="2241">
        <v>3719858</v>
      </c>
      <c r="I7" s="2239">
        <v>2722681</v>
      </c>
      <c r="J7" s="2242">
        <v>2722681</v>
      </c>
      <c r="K7" s="2243">
        <v>4382582.4433919992</v>
      </c>
      <c r="L7" s="2239">
        <v>4645537.3899955209</v>
      </c>
      <c r="M7" s="2240">
        <v>4924269.6333952518</v>
      </c>
      <c r="N7" s="399"/>
      <c r="O7" s="399"/>
      <c r="P7" s="250"/>
      <c r="Q7" s="250"/>
      <c r="R7" s="250"/>
      <c r="S7" s="250"/>
      <c r="T7" s="250"/>
      <c r="U7" s="250"/>
      <c r="V7" s="250"/>
      <c r="W7" s="250"/>
      <c r="X7" s="250"/>
    </row>
    <row r="8" spans="1:25" ht="114.75" x14ac:dyDescent="0.25">
      <c r="A8" s="2237"/>
      <c r="B8" s="2238" t="s">
        <v>2451</v>
      </c>
      <c r="C8" s="2238" t="s">
        <v>1558</v>
      </c>
      <c r="D8" s="422"/>
      <c r="E8" s="2239">
        <v>5178894.0200000005</v>
      </c>
      <c r="F8" s="2239">
        <v>8088200.2027694117</v>
      </c>
      <c r="G8" s="2240">
        <v>7528919.0258037793</v>
      </c>
      <c r="H8" s="2241">
        <v>7645466</v>
      </c>
      <c r="I8" s="2239">
        <v>8269883</v>
      </c>
      <c r="J8" s="2242">
        <v>8269883</v>
      </c>
      <c r="K8" s="2243">
        <v>8042123.1337907203</v>
      </c>
      <c r="L8" s="2239">
        <v>8524650.5218181629</v>
      </c>
      <c r="M8" s="2240">
        <v>9036129.5531272553</v>
      </c>
      <c r="N8" s="399"/>
      <c r="O8" s="399"/>
      <c r="P8" s="250"/>
      <c r="Q8" s="250"/>
      <c r="R8" s="250"/>
      <c r="S8" s="250"/>
      <c r="T8" s="250"/>
      <c r="U8" s="250"/>
      <c r="V8" s="250"/>
      <c r="W8" s="250"/>
      <c r="X8" s="250"/>
    </row>
    <row r="9" spans="1:25" ht="63.75" x14ac:dyDescent="0.25">
      <c r="A9" s="2237" t="s">
        <v>2444</v>
      </c>
      <c r="B9" s="2238" t="s">
        <v>2445</v>
      </c>
      <c r="C9" s="2238" t="s">
        <v>1559</v>
      </c>
      <c r="D9" s="422"/>
      <c r="E9" s="2239">
        <v>3657680.1479741191</v>
      </c>
      <c r="F9" s="2239">
        <v>14249433.206008008</v>
      </c>
      <c r="G9" s="2240">
        <v>18065602.419999998</v>
      </c>
      <c r="H9" s="2241">
        <v>1694922.842094752</v>
      </c>
      <c r="I9" s="2239">
        <v>22382900.142857142</v>
      </c>
      <c r="J9" s="2242">
        <v>22382900.142857142</v>
      </c>
      <c r="K9" s="2243">
        <v>22687055.167830002</v>
      </c>
      <c r="L9" s="2239">
        <v>24048242.477899801</v>
      </c>
      <c r="M9" s="2240">
        <v>25491101.026573792</v>
      </c>
      <c r="N9" s="399"/>
      <c r="O9" s="399"/>
      <c r="P9" s="250"/>
      <c r="Q9" s="250"/>
      <c r="R9" s="250"/>
      <c r="S9" s="250"/>
      <c r="T9" s="250"/>
      <c r="U9" s="250"/>
      <c r="V9" s="250"/>
      <c r="W9" s="250"/>
      <c r="X9" s="250"/>
    </row>
    <row r="10" spans="1:25" ht="51" x14ac:dyDescent="0.25">
      <c r="A10" s="2237"/>
      <c r="B10" s="2238" t="s">
        <v>2446</v>
      </c>
      <c r="C10" s="2238" t="s">
        <v>1560</v>
      </c>
      <c r="D10" s="422"/>
      <c r="E10" s="2239">
        <v>478718.32</v>
      </c>
      <c r="F10" s="2239">
        <v>23738.29</v>
      </c>
      <c r="G10" s="2240">
        <v>848.42</v>
      </c>
      <c r="H10" s="2241">
        <v>169000</v>
      </c>
      <c r="I10" s="2239">
        <v>120000</v>
      </c>
      <c r="J10" s="2242">
        <v>120000</v>
      </c>
      <c r="K10" s="2243">
        <v>148410</v>
      </c>
      <c r="L10" s="2239">
        <v>157314.6</v>
      </c>
      <c r="M10" s="2240">
        <v>166753.476</v>
      </c>
      <c r="N10" s="241"/>
      <c r="O10" s="241"/>
      <c r="P10" s="250"/>
      <c r="Q10" s="250"/>
      <c r="R10" s="250"/>
      <c r="S10" s="250"/>
      <c r="T10" s="250"/>
      <c r="U10" s="250"/>
      <c r="V10" s="250"/>
      <c r="W10" s="250"/>
      <c r="X10" s="250"/>
    </row>
    <row r="11" spans="1:25" ht="102" x14ac:dyDescent="0.25">
      <c r="A11" s="2237" t="s">
        <v>2447</v>
      </c>
      <c r="B11" s="2238" t="s">
        <v>2448</v>
      </c>
      <c r="C11" s="2238" t="s">
        <v>562</v>
      </c>
      <c r="D11" s="422"/>
      <c r="E11" s="2239">
        <v>21993066.730008647</v>
      </c>
      <c r="F11" s="2239">
        <v>13694688.373702155</v>
      </c>
      <c r="G11" s="2240">
        <v>10447845.640000002</v>
      </c>
      <c r="H11" s="2241">
        <v>33690208.37736842</v>
      </c>
      <c r="I11" s="2239">
        <v>21795826.142857142</v>
      </c>
      <c r="J11" s="2242">
        <v>21795826.142857142</v>
      </c>
      <c r="K11" s="2243">
        <v>16354474.257052321</v>
      </c>
      <c r="L11" s="2239">
        <v>17132742.71247546</v>
      </c>
      <c r="M11" s="2240">
        <v>18277107.275223989</v>
      </c>
      <c r="N11" s="241"/>
      <c r="O11" s="241"/>
      <c r="P11" s="250"/>
      <c r="Q11" s="250"/>
      <c r="R11" s="250"/>
      <c r="S11" s="250"/>
      <c r="T11" s="250"/>
      <c r="U11" s="250"/>
      <c r="V11" s="250"/>
      <c r="W11" s="250"/>
      <c r="X11" s="250"/>
    </row>
    <row r="12" spans="1:25" ht="25.5" x14ac:dyDescent="0.25">
      <c r="A12" s="2237" t="s">
        <v>1802</v>
      </c>
      <c r="B12" s="2238" t="s">
        <v>2450</v>
      </c>
      <c r="C12" s="2238" t="s">
        <v>563</v>
      </c>
      <c r="D12" s="422"/>
      <c r="E12" s="2239">
        <v>139843.54</v>
      </c>
      <c r="F12" s="2239">
        <v>148555.74</v>
      </c>
      <c r="G12" s="2240">
        <v>149301.62</v>
      </c>
      <c r="H12" s="2241">
        <v>322913</v>
      </c>
      <c r="I12" s="2239">
        <v>100300</v>
      </c>
      <c r="J12" s="2242">
        <v>100300</v>
      </c>
      <c r="K12" s="2243">
        <v>0</v>
      </c>
      <c r="L12" s="2239">
        <v>0</v>
      </c>
      <c r="M12" s="2240">
        <v>0</v>
      </c>
      <c r="N12" s="241"/>
      <c r="O12" s="241"/>
      <c r="P12" s="250"/>
      <c r="Q12" s="250"/>
      <c r="R12" s="250"/>
      <c r="S12" s="250"/>
      <c r="T12" s="250"/>
      <c r="U12" s="250"/>
      <c r="V12" s="250"/>
      <c r="W12" s="250"/>
      <c r="X12" s="250"/>
    </row>
    <row r="13" spans="1:25" ht="38.25" x14ac:dyDescent="0.25">
      <c r="A13" s="2237" t="s">
        <v>2449</v>
      </c>
      <c r="B13" s="2238" t="s">
        <v>2452</v>
      </c>
      <c r="C13" s="2238" t="s">
        <v>943</v>
      </c>
      <c r="D13" s="422"/>
      <c r="E13" s="2239">
        <v>28629.749999999996</v>
      </c>
      <c r="F13" s="2239">
        <v>14895.75</v>
      </c>
      <c r="G13" s="2240">
        <v>163234.58000000002</v>
      </c>
      <c r="H13" s="2241">
        <v>181500</v>
      </c>
      <c r="I13" s="2239">
        <v>186400</v>
      </c>
      <c r="J13" s="2242">
        <v>186400</v>
      </c>
      <c r="K13" s="2243">
        <v>335700</v>
      </c>
      <c r="L13" s="2239">
        <v>355842</v>
      </c>
      <c r="M13" s="2240">
        <v>377192.52</v>
      </c>
      <c r="N13" s="241"/>
      <c r="O13" s="241"/>
      <c r="P13" s="200"/>
      <c r="Q13" s="200"/>
      <c r="R13" s="200"/>
      <c r="S13" s="200"/>
      <c r="T13" s="200"/>
      <c r="U13" s="200"/>
      <c r="V13" s="200"/>
      <c r="W13" s="200"/>
      <c r="X13" s="200"/>
    </row>
    <row r="14" spans="1:25" ht="42.75" customHeight="1" x14ac:dyDescent="0.25">
      <c r="A14" s="2237"/>
      <c r="B14" s="2238"/>
      <c r="C14" s="2238"/>
      <c r="D14" s="422"/>
      <c r="E14" s="2239"/>
      <c r="F14" s="2239"/>
      <c r="G14" s="2240"/>
      <c r="H14" s="2241"/>
      <c r="I14" s="2239"/>
      <c r="J14" s="2242"/>
      <c r="K14" s="2243"/>
      <c r="L14" s="2239"/>
      <c r="M14" s="2240"/>
      <c r="N14" s="241"/>
      <c r="O14" s="241"/>
      <c r="P14" s="250"/>
      <c r="Q14" s="250"/>
      <c r="R14" s="250"/>
      <c r="S14" s="250"/>
      <c r="T14" s="250"/>
      <c r="U14" s="250"/>
      <c r="V14" s="250"/>
      <c r="W14" s="250"/>
      <c r="X14" s="250"/>
    </row>
    <row r="15" spans="1:25" ht="42.75" customHeight="1" x14ac:dyDescent="0.25">
      <c r="A15" s="2237"/>
      <c r="B15" s="2238"/>
      <c r="C15" s="2238"/>
      <c r="D15" s="422"/>
      <c r="E15" s="2239"/>
      <c r="F15" s="2239"/>
      <c r="G15" s="2240"/>
      <c r="H15" s="2241"/>
      <c r="I15" s="2239"/>
      <c r="J15" s="2242"/>
      <c r="K15" s="2243"/>
      <c r="L15" s="2239"/>
      <c r="M15" s="2240"/>
      <c r="N15" s="241"/>
      <c r="O15" s="241"/>
      <c r="P15" s="241"/>
      <c r="Q15" s="241"/>
    </row>
    <row r="16" spans="1:25" ht="42.75" customHeight="1" x14ac:dyDescent="0.25">
      <c r="A16" s="2237"/>
      <c r="B16" s="2238"/>
      <c r="C16" s="2238"/>
      <c r="D16" s="422"/>
      <c r="E16" s="2239"/>
      <c r="F16" s="2239"/>
      <c r="G16" s="2240"/>
      <c r="H16" s="2241"/>
      <c r="I16" s="2239"/>
      <c r="J16" s="2242"/>
      <c r="K16" s="2243"/>
      <c r="L16" s="2239"/>
      <c r="M16" s="2240"/>
      <c r="N16" s="241"/>
      <c r="O16" s="241"/>
      <c r="P16" s="241"/>
      <c r="Q16" s="241"/>
    </row>
    <row r="17" spans="1:17" ht="42.75" customHeight="1" x14ac:dyDescent="0.25">
      <c r="A17" s="2237"/>
      <c r="B17" s="2238"/>
      <c r="C17" s="2238"/>
      <c r="D17" s="422"/>
      <c r="E17" s="2239"/>
      <c r="F17" s="2239"/>
      <c r="G17" s="2240"/>
      <c r="H17" s="2241"/>
      <c r="I17" s="2239"/>
      <c r="J17" s="2242"/>
      <c r="K17" s="2243"/>
      <c r="L17" s="2239"/>
      <c r="M17" s="2240"/>
      <c r="N17" s="241"/>
      <c r="O17" s="241"/>
      <c r="P17" s="241"/>
      <c r="Q17" s="241"/>
    </row>
    <row r="18" spans="1:17" ht="42.75" customHeight="1" x14ac:dyDescent="0.25">
      <c r="A18" s="2237"/>
      <c r="B18" s="2238"/>
      <c r="C18" s="2238"/>
      <c r="D18" s="422"/>
      <c r="E18" s="2239"/>
      <c r="F18" s="2239"/>
      <c r="G18" s="2240"/>
      <c r="H18" s="2241"/>
      <c r="I18" s="2239"/>
      <c r="J18" s="2242"/>
      <c r="K18" s="2243"/>
      <c r="L18" s="2239"/>
      <c r="M18" s="2240"/>
      <c r="N18" s="241"/>
      <c r="O18" s="241"/>
      <c r="P18" s="241"/>
      <c r="Q18" s="241"/>
    </row>
    <row r="19" spans="1:17" ht="42.75" customHeight="1" x14ac:dyDescent="0.25">
      <c r="A19" s="2237"/>
      <c r="B19" s="2238"/>
      <c r="C19" s="2238"/>
      <c r="D19" s="422"/>
      <c r="E19" s="2239"/>
      <c r="F19" s="2239"/>
      <c r="G19" s="2240"/>
      <c r="H19" s="2241"/>
      <c r="I19" s="2239"/>
      <c r="J19" s="2242"/>
      <c r="K19" s="2243"/>
      <c r="L19" s="2239"/>
      <c r="M19" s="2240"/>
      <c r="N19" s="241"/>
      <c r="O19" s="241"/>
      <c r="P19" s="241"/>
      <c r="Q19" s="241"/>
    </row>
    <row r="20" spans="1:17" ht="42.75" customHeight="1" x14ac:dyDescent="0.25">
      <c r="A20" s="2237"/>
      <c r="B20" s="2238"/>
      <c r="C20" s="2238"/>
      <c r="D20" s="422"/>
      <c r="E20" s="2239"/>
      <c r="F20" s="2239"/>
      <c r="G20" s="2240"/>
      <c r="H20" s="2241"/>
      <c r="I20" s="2239"/>
      <c r="J20" s="2242"/>
      <c r="K20" s="2243"/>
      <c r="L20" s="2239"/>
      <c r="M20" s="2240"/>
      <c r="N20" s="241"/>
      <c r="O20" s="241"/>
      <c r="P20" s="241"/>
      <c r="Q20" s="241"/>
    </row>
    <row r="21" spans="1:17" ht="42.75" customHeight="1" x14ac:dyDescent="0.25">
      <c r="A21" s="2237"/>
      <c r="B21" s="2238"/>
      <c r="C21" s="2238"/>
      <c r="D21" s="422"/>
      <c r="E21" s="2239"/>
      <c r="F21" s="2239"/>
      <c r="G21" s="2240"/>
      <c r="H21" s="2241"/>
      <c r="I21" s="2239"/>
      <c r="J21" s="2242"/>
      <c r="K21" s="2243"/>
      <c r="L21" s="2239"/>
      <c r="M21" s="2240"/>
      <c r="N21" s="241"/>
      <c r="O21" s="241"/>
      <c r="P21" s="241"/>
      <c r="Q21" s="241"/>
    </row>
    <row r="22" spans="1:17" ht="12.75" customHeight="1" x14ac:dyDescent="0.25">
      <c r="A22" s="1794" t="s">
        <v>2074</v>
      </c>
      <c r="B22" s="1792"/>
      <c r="C22" s="1793"/>
      <c r="D22" s="422"/>
      <c r="E22" s="2244"/>
      <c r="F22" s="2244"/>
      <c r="G22" s="2245"/>
      <c r="H22" s="2246"/>
      <c r="I22" s="2244"/>
      <c r="J22" s="2247"/>
      <c r="K22" s="2248"/>
      <c r="L22" s="2244"/>
      <c r="M22" s="2245"/>
      <c r="N22" s="241"/>
      <c r="O22" s="241"/>
      <c r="P22" s="241"/>
      <c r="Q22" s="241"/>
    </row>
    <row r="23" spans="1:17" x14ac:dyDescent="0.25">
      <c r="A23" s="2206" t="s">
        <v>1655</v>
      </c>
      <c r="B23" s="2251"/>
      <c r="C23" s="2252"/>
      <c r="D23" s="2207">
        <v>1</v>
      </c>
      <c r="E23" s="224">
        <v>50383475.706582449</v>
      </c>
      <c r="F23" s="224">
        <v>60570905.480193764</v>
      </c>
      <c r="G23" s="320">
        <v>65924469.405803777</v>
      </c>
      <c r="H23" s="321">
        <v>71072956.768851161</v>
      </c>
      <c r="I23" s="224">
        <v>82805144.285714284</v>
      </c>
      <c r="J23" s="223">
        <v>82805144.285714284</v>
      </c>
      <c r="K23" s="322">
        <v>86297787.084331125</v>
      </c>
      <c r="L23" s="224">
        <v>89152618.309390992</v>
      </c>
      <c r="M23" s="320">
        <v>94618139.407954454</v>
      </c>
      <c r="N23" s="241"/>
      <c r="O23" s="241"/>
      <c r="P23" s="241"/>
      <c r="Q23" s="241"/>
    </row>
    <row r="24" spans="1:17" s="625" customFormat="1" x14ac:dyDescent="0.25">
      <c r="A24" s="2223" t="s">
        <v>986</v>
      </c>
      <c r="B24" s="2083"/>
      <c r="C24" s="2083"/>
      <c r="D24" s="1927"/>
      <c r="E24" s="839"/>
      <c r="F24" s="839"/>
      <c r="G24" s="839"/>
      <c r="H24" s="839"/>
      <c r="I24" s="839"/>
      <c r="J24" s="839"/>
      <c r="K24" s="839"/>
      <c r="L24" s="839"/>
      <c r="M24" s="839"/>
    </row>
    <row r="25" spans="1:17" s="625" customFormat="1" x14ac:dyDescent="0.25">
      <c r="A25" s="931" t="s">
        <v>2530</v>
      </c>
      <c r="B25" s="2253"/>
      <c r="C25" s="2253"/>
      <c r="D25" s="1927"/>
      <c r="E25" s="2083"/>
      <c r="F25" s="2083"/>
      <c r="G25" s="839"/>
      <c r="H25" s="839"/>
      <c r="I25" s="839"/>
      <c r="J25" s="839"/>
      <c r="K25" s="839"/>
      <c r="L25" s="839"/>
      <c r="M25" s="839"/>
    </row>
    <row r="26" spans="1:17" s="625" customFormat="1" x14ac:dyDescent="0.25">
      <c r="A26" s="873" t="s">
        <v>2075</v>
      </c>
      <c r="B26" s="873"/>
      <c r="C26" s="873"/>
      <c r="D26" s="873"/>
      <c r="E26" s="873"/>
      <c r="F26" s="873"/>
      <c r="G26" s="873"/>
      <c r="H26" s="873"/>
      <c r="I26" s="873"/>
      <c r="J26" s="873"/>
      <c r="K26" s="873"/>
      <c r="L26" s="873"/>
      <c r="M26" s="873"/>
    </row>
    <row r="27" spans="1:17" x14ac:dyDescent="0.25">
      <c r="A27" s="2254" t="s">
        <v>982</v>
      </c>
      <c r="B27" s="2084"/>
      <c r="C27" s="2084"/>
      <c r="D27" s="2255"/>
      <c r="E27" s="2256">
        <v>0</v>
      </c>
      <c r="F27" s="2256">
        <v>0</v>
      </c>
      <c r="G27" s="2257">
        <v>0</v>
      </c>
      <c r="H27" s="2257">
        <v>1200392.2194631696</v>
      </c>
      <c r="I27" s="2257">
        <v>0</v>
      </c>
      <c r="J27" s="2257">
        <v>0</v>
      </c>
      <c r="K27" s="2257">
        <v>0</v>
      </c>
      <c r="L27" s="2257">
        <v>0</v>
      </c>
      <c r="M27" s="2257">
        <v>0</v>
      </c>
    </row>
    <row r="28" spans="1:17" x14ac:dyDescent="0.25">
      <c r="E28" s="2250"/>
    </row>
    <row r="29" spans="1:17" x14ac:dyDescent="0.25">
      <c r="E29" s="2250"/>
    </row>
  </sheetData>
  <mergeCells count="3">
    <mergeCell ref="H2:J2"/>
    <mergeCell ref="K2:M2"/>
    <mergeCell ref="D2:D3"/>
  </mergeCells>
  <phoneticPr fontId="4" type="noConversion"/>
  <pageMargins left="0.75" right="0.75" top="1" bottom="1" header="0.5" footer="0.5"/>
  <pageSetup scale="5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enableFormatConditionsCalculation="0">
    <tabColor indexed="42"/>
    <pageSetUpPr fitToPage="1"/>
  </sheetPr>
  <dimension ref="A1:X28"/>
  <sheetViews>
    <sheetView showGridLines="0" tabSelected="1" workbookViewId="0">
      <pane xSplit="4" ySplit="3" topLeftCell="E18"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2" width="18.7109375" style="338" customWidth="1"/>
    <col min="3" max="3" width="4.42578125" style="338" customWidth="1"/>
    <col min="4" max="4" width="3" style="1928" customWidth="1"/>
    <col min="5" max="13" width="9.28515625" style="338" customWidth="1"/>
    <col min="14" max="14" width="32.7109375" style="338" bestFit="1" customWidth="1"/>
    <col min="15" max="15" width="1.5703125" style="148" customWidth="1"/>
    <col min="16" max="20" width="7.85546875" style="148" bestFit="1" customWidth="1"/>
    <col min="21" max="24" width="8.7109375" style="148" bestFit="1" customWidth="1"/>
    <col min="25" max="26" width="9.85546875" style="148" customWidth="1"/>
    <col min="27" max="16384" width="9.140625" style="148"/>
  </cols>
  <sheetData>
    <row r="1" spans="1:24" ht="13.5" x14ac:dyDescent="0.25">
      <c r="A1" s="1997" t="s">
        <v>2531</v>
      </c>
      <c r="B1" s="1997"/>
      <c r="C1" s="1997"/>
      <c r="D1" s="1997"/>
      <c r="E1" s="1997"/>
      <c r="F1" s="1997"/>
      <c r="G1" s="1997"/>
      <c r="H1" s="1997"/>
      <c r="I1" s="1997"/>
      <c r="J1" s="1997"/>
      <c r="K1" s="1997"/>
      <c r="L1" s="1997"/>
      <c r="M1" s="1997"/>
      <c r="N1" s="328"/>
      <c r="O1" s="241"/>
      <c r="P1" s="241"/>
      <c r="Q1" s="241"/>
    </row>
    <row r="2" spans="1:24" ht="28.5" customHeight="1" x14ac:dyDescent="0.25">
      <c r="A2" s="2010" t="s">
        <v>978</v>
      </c>
      <c r="B2" s="2001" t="s">
        <v>1355</v>
      </c>
      <c r="C2" s="2008" t="s">
        <v>942</v>
      </c>
      <c r="D2" s="2729" t="s">
        <v>429</v>
      </c>
      <c r="E2" s="1995" t="s">
        <v>2478</v>
      </c>
      <c r="F2" s="149" t="s">
        <v>2479</v>
      </c>
      <c r="G2" s="1996" t="s">
        <v>2480</v>
      </c>
      <c r="H2" s="2700" t="s">
        <v>2481</v>
      </c>
      <c r="I2" s="2701"/>
      <c r="J2" s="2705"/>
      <c r="K2" s="2697" t="s">
        <v>2482</v>
      </c>
      <c r="L2" s="2698"/>
      <c r="M2" s="2699"/>
      <c r="N2" s="328"/>
      <c r="O2" s="241"/>
      <c r="P2" s="241"/>
      <c r="Q2" s="241"/>
    </row>
    <row r="3" spans="1:24" ht="25.5" x14ac:dyDescent="0.25">
      <c r="A3" s="792" t="s">
        <v>667</v>
      </c>
      <c r="B3" s="791"/>
      <c r="C3" s="791"/>
      <c r="D3" s="2735"/>
      <c r="E3" s="2018" t="s">
        <v>1065</v>
      </c>
      <c r="F3" s="2009" t="s">
        <v>1065</v>
      </c>
      <c r="G3" s="354" t="s">
        <v>1065</v>
      </c>
      <c r="H3" s="2004" t="s">
        <v>467</v>
      </c>
      <c r="I3" s="2009" t="s">
        <v>1807</v>
      </c>
      <c r="J3" s="354" t="s">
        <v>1808</v>
      </c>
      <c r="K3" s="2004" t="s">
        <v>2483</v>
      </c>
      <c r="L3" s="2009" t="s">
        <v>2484</v>
      </c>
      <c r="M3" s="354" t="s">
        <v>2485</v>
      </c>
      <c r="N3" s="328"/>
      <c r="O3" s="241"/>
      <c r="P3" s="241"/>
      <c r="Q3" s="241"/>
    </row>
    <row r="4" spans="1:24" ht="51" x14ac:dyDescent="0.25">
      <c r="A4" s="2237" t="s">
        <v>2437</v>
      </c>
      <c r="B4" s="2238" t="s">
        <v>2438</v>
      </c>
      <c r="C4" s="2258" t="s">
        <v>409</v>
      </c>
      <c r="D4" s="422"/>
      <c r="E4" s="2239">
        <v>0</v>
      </c>
      <c r="F4" s="2239">
        <v>1068514.6600000001</v>
      </c>
      <c r="G4" s="2240">
        <v>674045.48</v>
      </c>
      <c r="H4" s="2241">
        <v>888000</v>
      </c>
      <c r="I4" s="2239">
        <v>928000</v>
      </c>
      <c r="J4" s="2242">
        <v>928000</v>
      </c>
      <c r="K4" s="2243">
        <v>460000</v>
      </c>
      <c r="L4" s="2239">
        <v>487600</v>
      </c>
      <c r="M4" s="2240">
        <v>516856</v>
      </c>
      <c r="N4" s="2259"/>
      <c r="O4" s="398"/>
      <c r="P4" s="250"/>
      <c r="Q4" s="250"/>
      <c r="R4" s="250"/>
      <c r="S4" s="250"/>
      <c r="T4" s="250"/>
      <c r="U4" s="250"/>
      <c r="V4" s="250"/>
      <c r="W4" s="250"/>
      <c r="X4" s="250"/>
    </row>
    <row r="5" spans="1:24" ht="76.5" x14ac:dyDescent="0.25">
      <c r="A5" s="2237" t="s">
        <v>2439</v>
      </c>
      <c r="B5" s="2238" t="s">
        <v>2440</v>
      </c>
      <c r="C5" s="2258" t="s">
        <v>1344</v>
      </c>
      <c r="D5" s="422"/>
      <c r="E5" s="2239">
        <v>10103273</v>
      </c>
      <c r="F5" s="2239">
        <v>1777902.5199999996</v>
      </c>
      <c r="G5" s="2240">
        <v>1967955.18</v>
      </c>
      <c r="H5" s="2241">
        <v>5150000</v>
      </c>
      <c r="I5" s="2239">
        <v>5150000</v>
      </c>
      <c r="J5" s="2242">
        <v>5150000</v>
      </c>
      <c r="K5" s="2243">
        <v>4613700</v>
      </c>
      <c r="L5" s="2239">
        <v>7500000</v>
      </c>
      <c r="M5" s="2240">
        <v>12843000</v>
      </c>
      <c r="N5" s="2259"/>
      <c r="O5" s="398"/>
      <c r="P5" s="250"/>
      <c r="Q5" s="250"/>
      <c r="R5" s="250"/>
      <c r="S5" s="250"/>
      <c r="T5" s="250"/>
      <c r="U5" s="250"/>
      <c r="V5" s="250"/>
      <c r="W5" s="250"/>
      <c r="X5" s="250"/>
    </row>
    <row r="6" spans="1:24" ht="89.25" x14ac:dyDescent="0.25">
      <c r="A6" s="2237" t="s">
        <v>2441</v>
      </c>
      <c r="B6" s="2238" t="s">
        <v>2442</v>
      </c>
      <c r="C6" s="2258" t="s">
        <v>498</v>
      </c>
      <c r="D6" s="422"/>
      <c r="E6" s="2239">
        <v>3805483</v>
      </c>
      <c r="F6" s="2239">
        <v>2473786.6999999997</v>
      </c>
      <c r="G6" s="2240">
        <v>1314549.96</v>
      </c>
      <c r="H6" s="2241">
        <v>0</v>
      </c>
      <c r="I6" s="2239">
        <v>0</v>
      </c>
      <c r="J6" s="2242">
        <v>0</v>
      </c>
      <c r="K6" s="2243">
        <v>0</v>
      </c>
      <c r="L6" s="2239">
        <v>0</v>
      </c>
      <c r="M6" s="2240">
        <v>0</v>
      </c>
      <c r="N6" s="2259"/>
      <c r="O6" s="398"/>
      <c r="P6" s="250"/>
      <c r="Q6" s="250"/>
      <c r="R6" s="250"/>
      <c r="S6" s="250"/>
      <c r="T6" s="250"/>
      <c r="U6" s="250"/>
      <c r="V6" s="250"/>
      <c r="W6" s="250"/>
      <c r="X6" s="250"/>
    </row>
    <row r="7" spans="1:24" ht="89.25" x14ac:dyDescent="0.25">
      <c r="A7" s="2237"/>
      <c r="B7" s="2238" t="s">
        <v>2443</v>
      </c>
      <c r="C7" s="2258" t="s">
        <v>548</v>
      </c>
      <c r="D7" s="422"/>
      <c r="E7" s="2239">
        <v>1293047</v>
      </c>
      <c r="F7" s="2239">
        <v>8566425.4400000013</v>
      </c>
      <c r="G7" s="2240">
        <v>1146483.99</v>
      </c>
      <c r="H7" s="2241">
        <v>200000</v>
      </c>
      <c r="I7" s="2239">
        <v>200000</v>
      </c>
      <c r="J7" s="2242">
        <v>200000</v>
      </c>
      <c r="K7" s="2243">
        <v>0</v>
      </c>
      <c r="L7" s="2239">
        <v>1750000</v>
      </c>
      <c r="M7" s="2240">
        <v>0</v>
      </c>
      <c r="N7" s="2259"/>
      <c r="O7" s="398"/>
      <c r="P7" s="250"/>
      <c r="Q7" s="250"/>
      <c r="R7" s="250"/>
      <c r="S7" s="250"/>
      <c r="T7" s="250"/>
      <c r="U7" s="250"/>
      <c r="V7" s="250"/>
      <c r="W7" s="250"/>
      <c r="X7" s="250"/>
    </row>
    <row r="8" spans="1:24" ht="114.75" x14ac:dyDescent="0.25">
      <c r="A8" s="2237"/>
      <c r="B8" s="2238" t="s">
        <v>2451</v>
      </c>
      <c r="C8" s="2258" t="s">
        <v>1558</v>
      </c>
      <c r="D8" s="422"/>
      <c r="E8" s="2239">
        <v>1610058</v>
      </c>
      <c r="F8" s="2239">
        <v>760409.79</v>
      </c>
      <c r="G8" s="2240">
        <v>609688.19999999995</v>
      </c>
      <c r="H8" s="2241">
        <v>2950000</v>
      </c>
      <c r="I8" s="2239">
        <v>2950000</v>
      </c>
      <c r="J8" s="2242">
        <v>2950000</v>
      </c>
      <c r="K8" s="2243">
        <v>5336300</v>
      </c>
      <c r="L8" s="2239">
        <v>3700000</v>
      </c>
      <c r="M8" s="2240">
        <v>0</v>
      </c>
      <c r="N8" s="2259"/>
      <c r="O8" s="398"/>
      <c r="P8" s="250"/>
      <c r="Q8" s="250"/>
      <c r="R8" s="250"/>
      <c r="S8" s="250"/>
      <c r="T8" s="250"/>
      <c r="U8" s="250"/>
      <c r="V8" s="250"/>
      <c r="W8" s="250"/>
      <c r="X8" s="250"/>
    </row>
    <row r="9" spans="1:24" ht="63.75" x14ac:dyDescent="0.25">
      <c r="A9" s="2237" t="s">
        <v>2444</v>
      </c>
      <c r="B9" s="2238" t="s">
        <v>2445</v>
      </c>
      <c r="C9" s="2258" t="s">
        <v>1559</v>
      </c>
      <c r="D9" s="422"/>
      <c r="E9" s="2239">
        <v>0</v>
      </c>
      <c r="F9" s="2239">
        <v>1012857.54</v>
      </c>
      <c r="G9" s="2240">
        <v>385280.75</v>
      </c>
      <c r="H9" s="2241">
        <v>300000</v>
      </c>
      <c r="I9" s="2239">
        <v>482000</v>
      </c>
      <c r="J9" s="2242">
        <v>482000</v>
      </c>
      <c r="K9" s="2243">
        <v>2405000</v>
      </c>
      <c r="L9" s="2239">
        <v>895700</v>
      </c>
      <c r="M9" s="2240">
        <v>949442</v>
      </c>
      <c r="N9" s="331"/>
      <c r="O9" s="290"/>
      <c r="P9" s="250"/>
      <c r="Q9" s="250"/>
      <c r="R9" s="250"/>
      <c r="S9" s="250"/>
      <c r="T9" s="250"/>
      <c r="U9" s="250"/>
      <c r="V9" s="250"/>
      <c r="W9" s="250"/>
      <c r="X9" s="250"/>
    </row>
    <row r="10" spans="1:24" ht="51" x14ac:dyDescent="0.25">
      <c r="A10" s="2237"/>
      <c r="B10" s="2238" t="s">
        <v>2446</v>
      </c>
      <c r="C10" s="2258" t="s">
        <v>1560</v>
      </c>
      <c r="D10" s="422"/>
      <c r="E10" s="2239">
        <v>0</v>
      </c>
      <c r="F10" s="2239">
        <v>0</v>
      </c>
      <c r="G10" s="2240">
        <v>0</v>
      </c>
      <c r="H10" s="2241">
        <v>0</v>
      </c>
      <c r="I10" s="2239">
        <v>0</v>
      </c>
      <c r="J10" s="2242">
        <v>0</v>
      </c>
      <c r="K10" s="2243">
        <v>0</v>
      </c>
      <c r="L10" s="2239">
        <v>0</v>
      </c>
      <c r="M10" s="2240">
        <v>0</v>
      </c>
      <c r="N10" s="328"/>
      <c r="O10" s="241"/>
      <c r="P10" s="250"/>
      <c r="Q10" s="250"/>
      <c r="R10" s="250"/>
      <c r="S10" s="250"/>
      <c r="T10" s="250"/>
      <c r="U10" s="250"/>
      <c r="V10" s="250"/>
      <c r="W10" s="250"/>
      <c r="X10" s="250"/>
    </row>
    <row r="11" spans="1:24" ht="102" x14ac:dyDescent="0.25">
      <c r="A11" s="2237" t="s">
        <v>2447</v>
      </c>
      <c r="B11" s="2238" t="s">
        <v>2448</v>
      </c>
      <c r="C11" s="2258" t="s">
        <v>562</v>
      </c>
      <c r="D11" s="422"/>
      <c r="E11" s="2239">
        <v>0</v>
      </c>
      <c r="F11" s="2239">
        <v>44330</v>
      </c>
      <c r="G11" s="2240">
        <v>48769.27</v>
      </c>
      <c r="H11" s="2241">
        <v>0</v>
      </c>
      <c r="I11" s="2239">
        <v>70000</v>
      </c>
      <c r="J11" s="2242">
        <v>70000</v>
      </c>
      <c r="K11" s="2243">
        <v>150000</v>
      </c>
      <c r="L11" s="2239">
        <v>159000</v>
      </c>
      <c r="M11" s="2240">
        <v>168540</v>
      </c>
      <c r="N11" s="328"/>
      <c r="O11" s="241"/>
      <c r="P11" s="250"/>
      <c r="Q11" s="250"/>
      <c r="R11" s="250"/>
      <c r="S11" s="250"/>
      <c r="T11" s="250"/>
      <c r="U11" s="250"/>
      <c r="V11" s="250"/>
      <c r="W11" s="250"/>
      <c r="X11" s="250"/>
    </row>
    <row r="12" spans="1:24" ht="25.5" x14ac:dyDescent="0.25">
      <c r="A12" s="2237" t="s">
        <v>1802</v>
      </c>
      <c r="B12" s="2238" t="s">
        <v>2450</v>
      </c>
      <c r="C12" s="2258" t="s">
        <v>563</v>
      </c>
      <c r="D12" s="422"/>
      <c r="E12" s="2239">
        <v>0</v>
      </c>
      <c r="F12" s="2239">
        <v>0</v>
      </c>
      <c r="G12" s="2240">
        <v>0</v>
      </c>
      <c r="H12" s="2241">
        <v>0</v>
      </c>
      <c r="I12" s="2239">
        <v>0</v>
      </c>
      <c r="J12" s="2242">
        <v>0</v>
      </c>
      <c r="K12" s="2243">
        <v>0</v>
      </c>
      <c r="L12" s="2239">
        <v>0</v>
      </c>
      <c r="M12" s="2240">
        <v>0</v>
      </c>
      <c r="N12" s="328"/>
      <c r="O12" s="241"/>
      <c r="P12" s="250"/>
      <c r="Q12" s="250"/>
      <c r="R12" s="250"/>
      <c r="S12" s="250"/>
      <c r="T12" s="250"/>
      <c r="U12" s="250"/>
      <c r="V12" s="250"/>
      <c r="W12" s="250"/>
      <c r="X12" s="250"/>
    </row>
    <row r="13" spans="1:24" ht="38.25" x14ac:dyDescent="0.25">
      <c r="A13" s="2237" t="s">
        <v>2449</v>
      </c>
      <c r="B13" s="2238" t="s">
        <v>2452</v>
      </c>
      <c r="C13" s="2258" t="s">
        <v>943</v>
      </c>
      <c r="D13" s="422"/>
      <c r="E13" s="2239">
        <v>0</v>
      </c>
      <c r="F13" s="2239">
        <v>0</v>
      </c>
      <c r="G13" s="2240">
        <v>0</v>
      </c>
      <c r="H13" s="2241">
        <v>0</v>
      </c>
      <c r="I13" s="2239">
        <v>0</v>
      </c>
      <c r="J13" s="2242">
        <v>0</v>
      </c>
      <c r="K13" s="2243">
        <v>0</v>
      </c>
      <c r="L13" s="2239">
        <v>0</v>
      </c>
      <c r="M13" s="2240">
        <v>0</v>
      </c>
      <c r="N13" s="328"/>
      <c r="O13" s="241"/>
      <c r="P13" s="200"/>
      <c r="Q13" s="200"/>
      <c r="R13" s="200"/>
      <c r="S13" s="200"/>
      <c r="T13" s="200"/>
      <c r="U13" s="200"/>
      <c r="V13" s="200"/>
      <c r="W13" s="200"/>
      <c r="X13" s="200"/>
    </row>
    <row r="14" spans="1:24" ht="42.75" customHeight="1" x14ac:dyDescent="0.25">
      <c r="A14" s="2237"/>
      <c r="B14" s="2238"/>
      <c r="C14" s="2258" t="s">
        <v>944</v>
      </c>
      <c r="D14" s="422"/>
      <c r="E14" s="2239"/>
      <c r="F14" s="2239"/>
      <c r="G14" s="2240"/>
      <c r="H14" s="2241"/>
      <c r="I14" s="2239"/>
      <c r="J14" s="2242"/>
      <c r="K14" s="2243"/>
      <c r="L14" s="2239"/>
      <c r="M14" s="2240"/>
      <c r="N14" s="328"/>
      <c r="O14" s="241"/>
      <c r="P14" s="250"/>
      <c r="Q14" s="250"/>
      <c r="R14" s="250"/>
      <c r="S14" s="250"/>
      <c r="T14" s="250"/>
      <c r="U14" s="250"/>
      <c r="V14" s="250"/>
      <c r="W14" s="250"/>
      <c r="X14" s="250"/>
    </row>
    <row r="15" spans="1:24" ht="42.75" customHeight="1" x14ac:dyDescent="0.25">
      <c r="A15" s="2237"/>
      <c r="B15" s="2238"/>
      <c r="C15" s="2258" t="s">
        <v>945</v>
      </c>
      <c r="D15" s="422"/>
      <c r="E15" s="2239"/>
      <c r="F15" s="2239"/>
      <c r="G15" s="2240"/>
      <c r="H15" s="2241"/>
      <c r="I15" s="2239"/>
      <c r="J15" s="2242"/>
      <c r="K15" s="2243"/>
      <c r="L15" s="2239"/>
      <c r="M15" s="2240"/>
      <c r="N15" s="328"/>
      <c r="O15" s="241"/>
      <c r="P15" s="241"/>
      <c r="Q15" s="241"/>
    </row>
    <row r="16" spans="1:24" ht="42.75" customHeight="1" x14ac:dyDescent="0.25">
      <c r="A16" s="2237"/>
      <c r="B16" s="2238"/>
      <c r="C16" s="2258" t="s">
        <v>946</v>
      </c>
      <c r="D16" s="422"/>
      <c r="E16" s="2239"/>
      <c r="F16" s="2239"/>
      <c r="G16" s="2240"/>
      <c r="H16" s="2241"/>
      <c r="I16" s="2239"/>
      <c r="J16" s="2242"/>
      <c r="K16" s="2243"/>
      <c r="L16" s="2239"/>
      <c r="M16" s="2240"/>
      <c r="N16" s="328"/>
      <c r="O16" s="241"/>
      <c r="P16" s="241"/>
      <c r="Q16" s="241"/>
    </row>
    <row r="17" spans="1:14" ht="42.75" customHeight="1" x14ac:dyDescent="0.25">
      <c r="A17" s="2237"/>
      <c r="B17" s="2238"/>
      <c r="C17" s="2258" t="s">
        <v>947</v>
      </c>
      <c r="D17" s="422"/>
      <c r="E17" s="2239"/>
      <c r="F17" s="2239"/>
      <c r="G17" s="2240"/>
      <c r="H17" s="2241"/>
      <c r="I17" s="2239"/>
      <c r="J17" s="2242"/>
      <c r="K17" s="2243"/>
      <c r="L17" s="2239"/>
      <c r="M17" s="2240"/>
    </row>
    <row r="18" spans="1:14" ht="42.75" customHeight="1" x14ac:dyDescent="0.25">
      <c r="A18" s="2237"/>
      <c r="B18" s="2238"/>
      <c r="C18" s="2258" t="s">
        <v>948</v>
      </c>
      <c r="D18" s="422"/>
      <c r="E18" s="2239"/>
      <c r="F18" s="2239"/>
      <c r="G18" s="2240"/>
      <c r="H18" s="2241"/>
      <c r="I18" s="2239"/>
      <c r="J18" s="2242"/>
      <c r="K18" s="2243"/>
      <c r="L18" s="2239"/>
      <c r="M18" s="2240"/>
    </row>
    <row r="19" spans="1:14" ht="42.75" customHeight="1" x14ac:dyDescent="0.25">
      <c r="A19" s="2237"/>
      <c r="B19" s="2238"/>
      <c r="C19" s="2258" t="s">
        <v>949</v>
      </c>
      <c r="D19" s="422"/>
      <c r="E19" s="2239"/>
      <c r="F19" s="2239"/>
      <c r="G19" s="2240"/>
      <c r="H19" s="2241"/>
      <c r="I19" s="2239"/>
      <c r="J19" s="2242"/>
      <c r="K19" s="2243"/>
      <c r="L19" s="2239"/>
      <c r="M19" s="2240"/>
    </row>
    <row r="20" spans="1:14" ht="12.75" customHeight="1" x14ac:dyDescent="0.25">
      <c r="A20" s="1794" t="s">
        <v>2074</v>
      </c>
      <c r="B20" s="1792"/>
      <c r="C20" s="1795"/>
      <c r="D20" s="422">
        <v>3</v>
      </c>
      <c r="E20" s="2244"/>
      <c r="F20" s="2244"/>
      <c r="G20" s="2245"/>
      <c r="H20" s="2246"/>
      <c r="I20" s="2244"/>
      <c r="J20" s="2247"/>
      <c r="K20" s="2248"/>
      <c r="L20" s="2244"/>
      <c r="M20" s="2245"/>
    </row>
    <row r="21" spans="1:14" x14ac:dyDescent="0.25">
      <c r="A21" s="2206" t="s">
        <v>603</v>
      </c>
      <c r="B21" s="2251"/>
      <c r="C21" s="2252"/>
      <c r="D21" s="2207">
        <v>1</v>
      </c>
      <c r="E21" s="224">
        <v>16811861</v>
      </c>
      <c r="F21" s="224">
        <v>15704226.649999999</v>
      </c>
      <c r="G21" s="320">
        <v>6146772.8300000001</v>
      </c>
      <c r="H21" s="321">
        <v>9488000</v>
      </c>
      <c r="I21" s="224">
        <v>9780000</v>
      </c>
      <c r="J21" s="223">
        <v>9780000</v>
      </c>
      <c r="K21" s="322">
        <v>12965000</v>
      </c>
      <c r="L21" s="224">
        <v>14492300</v>
      </c>
      <c r="M21" s="320">
        <v>14477838</v>
      </c>
    </row>
    <row r="22" spans="1:14" s="625" customFormat="1" x14ac:dyDescent="0.25">
      <c r="A22" s="2223" t="s">
        <v>986</v>
      </c>
      <c r="B22" s="2083"/>
      <c r="C22" s="2083"/>
      <c r="D22" s="1927"/>
      <c r="E22" s="839"/>
      <c r="F22" s="839"/>
      <c r="G22" s="839"/>
      <c r="H22" s="839"/>
      <c r="I22" s="839"/>
      <c r="J22" s="839"/>
      <c r="K22" s="839"/>
      <c r="L22" s="839"/>
      <c r="M22" s="839"/>
      <c r="N22" s="873"/>
    </row>
    <row r="23" spans="1:14" s="625" customFormat="1" x14ac:dyDescent="0.25">
      <c r="A23" s="931" t="s">
        <v>1357</v>
      </c>
      <c r="B23" s="2083"/>
      <c r="C23" s="2083"/>
      <c r="D23" s="1927"/>
      <c r="E23" s="839"/>
      <c r="F23" s="839"/>
      <c r="G23" s="839"/>
      <c r="H23" s="839"/>
      <c r="I23" s="839"/>
      <c r="J23" s="839"/>
      <c r="K23" s="839"/>
      <c r="L23" s="839"/>
      <c r="M23" s="839"/>
      <c r="N23" s="873"/>
    </row>
    <row r="24" spans="1:14" s="625" customFormat="1" x14ac:dyDescent="0.25">
      <c r="A24" s="931" t="s">
        <v>2073</v>
      </c>
      <c r="B24" s="851"/>
      <c r="C24" s="851"/>
      <c r="D24" s="1927"/>
      <c r="E24" s="2083"/>
      <c r="F24" s="2083"/>
      <c r="G24" s="839"/>
      <c r="H24" s="839"/>
      <c r="I24" s="839"/>
      <c r="J24" s="839"/>
      <c r="K24" s="839"/>
      <c r="L24" s="839"/>
      <c r="M24" s="839"/>
      <c r="N24" s="873"/>
    </row>
    <row r="25" spans="1:14" x14ac:dyDescent="0.25">
      <c r="A25" s="338" t="s">
        <v>2076</v>
      </c>
    </row>
    <row r="26" spans="1:14" x14ac:dyDescent="0.25">
      <c r="A26" s="351" t="s">
        <v>426</v>
      </c>
      <c r="B26" s="351"/>
      <c r="C26" s="351"/>
      <c r="E26" s="2260">
        <v>0</v>
      </c>
      <c r="F26" s="2260">
        <v>0</v>
      </c>
      <c r="G26" s="2260">
        <v>0</v>
      </c>
      <c r="H26" s="2260">
        <v>0</v>
      </c>
      <c r="I26" s="2260">
        <v>0</v>
      </c>
      <c r="J26" s="2260">
        <v>0</v>
      </c>
      <c r="K26" s="2260">
        <v>0</v>
      </c>
      <c r="L26" s="2260">
        <v>0</v>
      </c>
      <c r="M26" s="2260">
        <v>0</v>
      </c>
    </row>
    <row r="27" spans="1:14" x14ac:dyDescent="0.25">
      <c r="E27" s="2250"/>
    </row>
    <row r="28" spans="1:14" x14ac:dyDescent="0.25">
      <c r="E28" s="2250"/>
    </row>
  </sheetData>
  <mergeCells count="3">
    <mergeCell ref="H2:J2"/>
    <mergeCell ref="K2:M2"/>
    <mergeCell ref="D2:D3"/>
  </mergeCells>
  <phoneticPr fontId="4" type="noConversion"/>
  <pageMargins left="0.75" right="0.75" top="1" bottom="1" header="0.5" footer="0.5"/>
  <pageSetup scale="61"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enableFormatConditionsCalculation="0">
    <tabColor indexed="42"/>
    <pageSetUpPr fitToPage="1"/>
  </sheetPr>
  <dimension ref="A1:K89"/>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1.25" customHeight="1" x14ac:dyDescent="0.25"/>
  <cols>
    <col min="1" max="1" width="29.28515625" style="338" customWidth="1"/>
    <col min="2" max="2" width="15.7109375" style="338" customWidth="1"/>
    <col min="3" max="11" width="9.28515625" style="338" customWidth="1"/>
    <col min="12" max="16384" width="9.140625" style="148"/>
  </cols>
  <sheetData>
    <row r="1" spans="1:11" s="178" customFormat="1" ht="12.75" x14ac:dyDescent="0.2">
      <c r="A1" s="1997" t="s">
        <v>2532</v>
      </c>
      <c r="B1" s="1997"/>
      <c r="C1" s="1997"/>
      <c r="D1" s="1997"/>
      <c r="E1" s="1997"/>
      <c r="F1" s="1997"/>
      <c r="G1" s="1997"/>
      <c r="H1" s="1997"/>
      <c r="I1" s="1997"/>
      <c r="J1" s="1997"/>
      <c r="K1" s="1997"/>
    </row>
    <row r="2" spans="1:11" ht="28.5" customHeight="1" x14ac:dyDescent="0.25">
      <c r="A2" s="2738" t="s">
        <v>775</v>
      </c>
      <c r="B2" s="2736" t="s">
        <v>422</v>
      </c>
      <c r="C2" s="1995" t="s">
        <v>2478</v>
      </c>
      <c r="D2" s="149" t="s">
        <v>2479</v>
      </c>
      <c r="E2" s="1996" t="s">
        <v>2480</v>
      </c>
      <c r="F2" s="2700" t="s">
        <v>2481</v>
      </c>
      <c r="G2" s="2701"/>
      <c r="H2" s="2705"/>
      <c r="I2" s="2697" t="s">
        <v>2482</v>
      </c>
      <c r="J2" s="2698"/>
      <c r="K2" s="2699"/>
    </row>
    <row r="3" spans="1:11" ht="25.5" x14ac:dyDescent="0.25">
      <c r="A3" s="2739"/>
      <c r="B3" s="2737"/>
      <c r="C3" s="2018" t="s">
        <v>1065</v>
      </c>
      <c r="D3" s="2009" t="s">
        <v>1065</v>
      </c>
      <c r="E3" s="354" t="s">
        <v>1065</v>
      </c>
      <c r="F3" s="2004" t="s">
        <v>467</v>
      </c>
      <c r="G3" s="2009" t="s">
        <v>1807</v>
      </c>
      <c r="H3" s="354" t="s">
        <v>1808</v>
      </c>
      <c r="I3" s="2004" t="s">
        <v>2483</v>
      </c>
      <c r="J3" s="2009" t="s">
        <v>2484</v>
      </c>
      <c r="K3" s="354" t="s">
        <v>2485</v>
      </c>
    </row>
    <row r="4" spans="1:11" ht="11.25" customHeight="1" x14ac:dyDescent="0.25">
      <c r="A4" s="2261" t="s">
        <v>2453</v>
      </c>
      <c r="B4" s="2262"/>
      <c r="C4" s="2263"/>
      <c r="D4" s="2264"/>
      <c r="E4" s="2264"/>
      <c r="F4" s="2264"/>
      <c r="G4" s="2264"/>
      <c r="H4" s="2265"/>
      <c r="I4" s="2265"/>
      <c r="J4" s="2264"/>
      <c r="K4" s="2264"/>
    </row>
    <row r="5" spans="1:11" ht="11.25" customHeight="1" x14ac:dyDescent="0.25">
      <c r="A5" s="2266" t="s">
        <v>2307</v>
      </c>
      <c r="B5" s="2267"/>
      <c r="C5" s="2263"/>
      <c r="D5" s="2264"/>
      <c r="E5" s="2264"/>
      <c r="F5" s="2264"/>
      <c r="G5" s="2264"/>
      <c r="H5" s="2264"/>
      <c r="I5" s="2264"/>
      <c r="J5" s="2264"/>
      <c r="K5" s="2264"/>
    </row>
    <row r="6" spans="1:11" ht="11.25" customHeight="1" x14ac:dyDescent="0.25">
      <c r="A6" s="2268" t="s">
        <v>2454</v>
      </c>
      <c r="B6" s="2269"/>
      <c r="C6" s="2263"/>
      <c r="D6" s="2264"/>
      <c r="E6" s="2264"/>
      <c r="F6" s="2264"/>
      <c r="G6" s="2264"/>
      <c r="H6" s="2264"/>
      <c r="I6" s="2264"/>
      <c r="J6" s="2264"/>
      <c r="K6" s="2264"/>
    </row>
    <row r="7" spans="1:11" ht="11.25" customHeight="1" x14ac:dyDescent="0.25">
      <c r="A7" s="2270" t="s">
        <v>2455</v>
      </c>
      <c r="B7" s="2267" t="s">
        <v>2456</v>
      </c>
      <c r="C7" s="2271">
        <v>10103273</v>
      </c>
      <c r="D7" s="2271">
        <v>1777902.5199999996</v>
      </c>
      <c r="E7" s="2271">
        <v>1967955.18</v>
      </c>
      <c r="F7" s="2271">
        <v>5150000</v>
      </c>
      <c r="G7" s="2271">
        <v>5150000</v>
      </c>
      <c r="H7" s="2271">
        <v>5150000</v>
      </c>
      <c r="I7" s="2271">
        <v>4613700</v>
      </c>
      <c r="J7" s="2271">
        <v>7500000</v>
      </c>
      <c r="K7" s="2271">
        <v>12843000</v>
      </c>
    </row>
    <row r="8" spans="1:11" ht="11.25" customHeight="1" x14ac:dyDescent="0.25">
      <c r="A8" s="2261"/>
      <c r="B8" s="2269"/>
      <c r="C8" s="2263"/>
      <c r="D8" s="2264"/>
      <c r="E8" s="2264"/>
      <c r="F8" s="2264"/>
      <c r="G8" s="2264"/>
      <c r="H8" s="2264"/>
      <c r="I8" s="2264"/>
      <c r="J8" s="2264"/>
      <c r="K8" s="2264"/>
    </row>
    <row r="9" spans="1:11" ht="11.25" customHeight="1" x14ac:dyDescent="0.25">
      <c r="A9" s="2268" t="s">
        <v>1391</v>
      </c>
      <c r="B9" s="2272"/>
      <c r="C9" s="2273"/>
      <c r="D9" s="2274"/>
      <c r="E9" s="2274"/>
      <c r="F9" s="2274"/>
      <c r="G9" s="2274"/>
      <c r="H9" s="2274"/>
      <c r="I9" s="2274"/>
      <c r="J9" s="2274"/>
      <c r="K9" s="2274"/>
    </row>
    <row r="10" spans="1:11" ht="11.25" customHeight="1" x14ac:dyDescent="0.25">
      <c r="A10" s="2270" t="s">
        <v>1098</v>
      </c>
      <c r="B10" s="2269"/>
      <c r="C10" s="2263"/>
      <c r="D10" s="2264"/>
      <c r="E10" s="2264"/>
      <c r="F10" s="2264"/>
      <c r="G10" s="2264"/>
      <c r="H10" s="2264"/>
      <c r="I10" s="2264"/>
      <c r="J10" s="2264"/>
      <c r="K10" s="2264"/>
    </row>
    <row r="11" spans="1:11" ht="11.25" customHeight="1" x14ac:dyDescent="0.25">
      <c r="A11" s="2261"/>
      <c r="B11" s="2262"/>
      <c r="C11" s="2263"/>
      <c r="D11" s="2264"/>
      <c r="E11" s="2264"/>
      <c r="F11" s="2264"/>
      <c r="G11" s="2264"/>
      <c r="H11" s="2264"/>
      <c r="I11" s="2264"/>
      <c r="J11" s="2264"/>
      <c r="K11" s="2264"/>
    </row>
    <row r="12" spans="1:11" ht="11.25" customHeight="1" x14ac:dyDescent="0.25">
      <c r="A12" s="2268" t="s">
        <v>1392</v>
      </c>
      <c r="B12" s="2272"/>
      <c r="C12" s="2273"/>
      <c r="D12" s="2274"/>
      <c r="E12" s="2274"/>
      <c r="F12" s="2274"/>
      <c r="G12" s="2274"/>
      <c r="H12" s="2274"/>
      <c r="I12" s="2274"/>
      <c r="J12" s="2274"/>
      <c r="K12" s="2274"/>
    </row>
    <row r="13" spans="1:11" ht="11.25" customHeight="1" x14ac:dyDescent="0.25">
      <c r="A13" s="2270" t="s">
        <v>1098</v>
      </c>
      <c r="B13" s="2269"/>
      <c r="C13" s="2263"/>
      <c r="D13" s="2264"/>
      <c r="E13" s="2264"/>
      <c r="F13" s="2264"/>
      <c r="G13" s="2264"/>
      <c r="H13" s="2264"/>
      <c r="I13" s="2264"/>
      <c r="J13" s="2264"/>
      <c r="K13" s="2264"/>
    </row>
    <row r="14" spans="1:11" ht="11.25" customHeight="1" x14ac:dyDescent="0.25">
      <c r="A14" s="2261"/>
      <c r="B14" s="2269"/>
      <c r="C14" s="2263"/>
      <c r="D14" s="2264"/>
      <c r="E14" s="2264"/>
      <c r="F14" s="2264"/>
      <c r="G14" s="2264"/>
      <c r="H14" s="2264"/>
      <c r="I14" s="2264"/>
      <c r="J14" s="2264"/>
      <c r="K14" s="2264"/>
    </row>
    <row r="15" spans="1:11" ht="11.25" customHeight="1" x14ac:dyDescent="0.25">
      <c r="A15" s="2266" t="s">
        <v>1390</v>
      </c>
      <c r="B15" s="2272"/>
      <c r="C15" s="2273"/>
      <c r="D15" s="2274"/>
      <c r="E15" s="2274"/>
      <c r="F15" s="2274"/>
      <c r="G15" s="2274"/>
      <c r="H15" s="2274"/>
      <c r="I15" s="2274"/>
      <c r="J15" s="2274"/>
      <c r="K15" s="2274"/>
    </row>
    <row r="16" spans="1:11" ht="11.25" customHeight="1" x14ac:dyDescent="0.25">
      <c r="A16" s="2268" t="s">
        <v>1389</v>
      </c>
      <c r="B16" s="2269"/>
      <c r="C16" s="2263"/>
      <c r="D16" s="2264"/>
      <c r="E16" s="2264"/>
      <c r="F16" s="2264"/>
      <c r="G16" s="2264"/>
      <c r="H16" s="2264"/>
      <c r="I16" s="2264"/>
      <c r="J16" s="2264"/>
      <c r="K16" s="2264"/>
    </row>
    <row r="17" spans="1:11" ht="11.25" customHeight="1" x14ac:dyDescent="0.25">
      <c r="A17" s="2270" t="s">
        <v>1098</v>
      </c>
      <c r="B17" s="2269"/>
      <c r="C17" s="2263"/>
      <c r="D17" s="2264"/>
      <c r="E17" s="2264"/>
      <c r="F17" s="2264"/>
      <c r="G17" s="2264"/>
      <c r="H17" s="2264"/>
      <c r="I17" s="2264"/>
      <c r="J17" s="2264"/>
      <c r="K17" s="2264"/>
    </row>
    <row r="18" spans="1:11" ht="11.25" customHeight="1" x14ac:dyDescent="0.25">
      <c r="A18" s="2261"/>
      <c r="B18" s="2269"/>
      <c r="C18" s="2263"/>
      <c r="D18" s="2264"/>
      <c r="E18" s="2264"/>
      <c r="F18" s="2264"/>
      <c r="G18" s="2264"/>
      <c r="H18" s="2264"/>
      <c r="I18" s="2264"/>
      <c r="J18" s="2264"/>
      <c r="K18" s="2264"/>
    </row>
    <row r="19" spans="1:11" ht="11.25" customHeight="1" x14ac:dyDescent="0.25">
      <c r="A19" s="2268" t="s">
        <v>1391</v>
      </c>
      <c r="B19" s="2275"/>
      <c r="C19" s="2273"/>
      <c r="D19" s="2274"/>
      <c r="E19" s="2274"/>
      <c r="F19" s="2274"/>
      <c r="G19" s="2274"/>
      <c r="H19" s="2274"/>
      <c r="I19" s="2274"/>
      <c r="J19" s="2274"/>
      <c r="K19" s="2274"/>
    </row>
    <row r="20" spans="1:11" ht="11.25" customHeight="1" x14ac:dyDescent="0.25">
      <c r="A20" s="2270" t="s">
        <v>1098</v>
      </c>
      <c r="B20" s="2269"/>
      <c r="C20" s="2263"/>
      <c r="D20" s="2264"/>
      <c r="E20" s="2264"/>
      <c r="F20" s="2264"/>
      <c r="G20" s="2264"/>
      <c r="H20" s="2264"/>
      <c r="I20" s="2264"/>
      <c r="J20" s="2264"/>
      <c r="K20" s="2264"/>
    </row>
    <row r="21" spans="1:11" ht="11.25" customHeight="1" x14ac:dyDescent="0.25">
      <c r="A21" s="2261"/>
      <c r="B21" s="2269"/>
      <c r="C21" s="2263"/>
      <c r="D21" s="2264"/>
      <c r="E21" s="2264"/>
      <c r="F21" s="2264"/>
      <c r="G21" s="2264"/>
      <c r="H21" s="2264"/>
      <c r="I21" s="2264"/>
      <c r="J21" s="2264"/>
      <c r="K21" s="2264"/>
    </row>
    <row r="22" spans="1:11" ht="11.25" customHeight="1" x14ac:dyDescent="0.25">
      <c r="A22" s="2268" t="s">
        <v>1392</v>
      </c>
      <c r="B22" s="2272"/>
      <c r="C22" s="2273"/>
      <c r="D22" s="2274"/>
      <c r="E22" s="2274"/>
      <c r="F22" s="2274"/>
      <c r="G22" s="2274"/>
      <c r="H22" s="2274"/>
      <c r="I22" s="2274"/>
      <c r="J22" s="2274"/>
      <c r="K22" s="2274"/>
    </row>
    <row r="23" spans="1:11" ht="11.25" customHeight="1" x14ac:dyDescent="0.25">
      <c r="A23" s="2270" t="s">
        <v>1098</v>
      </c>
      <c r="B23" s="2269"/>
      <c r="C23" s="2263"/>
      <c r="D23" s="2264"/>
      <c r="E23" s="2264"/>
      <c r="F23" s="2264"/>
      <c r="G23" s="2264"/>
      <c r="H23" s="2264"/>
      <c r="I23" s="2264"/>
      <c r="J23" s="2264"/>
      <c r="K23" s="2264"/>
    </row>
    <row r="24" spans="1:11" ht="11.25" customHeight="1" x14ac:dyDescent="0.25">
      <c r="A24" s="2276"/>
      <c r="B24" s="2277"/>
      <c r="C24" s="2278"/>
      <c r="D24" s="2279"/>
      <c r="E24" s="2279"/>
      <c r="F24" s="2279"/>
      <c r="G24" s="2279"/>
      <c r="H24" s="2279"/>
      <c r="I24" s="2279"/>
      <c r="J24" s="2279"/>
      <c r="K24" s="2279"/>
    </row>
    <row r="25" spans="1:11" ht="11.25" customHeight="1" x14ac:dyDescent="0.25">
      <c r="A25" s="2261" t="s">
        <v>1393</v>
      </c>
      <c r="B25" s="2269"/>
      <c r="C25" s="2263"/>
      <c r="D25" s="2264"/>
      <c r="E25" s="2264"/>
      <c r="F25" s="2264"/>
      <c r="G25" s="2264"/>
      <c r="H25" s="2264"/>
      <c r="I25" s="2264"/>
      <c r="J25" s="2264"/>
      <c r="K25" s="2264"/>
    </row>
    <row r="26" spans="1:11" ht="11.25" customHeight="1" x14ac:dyDescent="0.25">
      <c r="A26" s="2266" t="s">
        <v>1388</v>
      </c>
      <c r="B26" s="2269"/>
      <c r="C26" s="2263"/>
      <c r="D26" s="2264"/>
      <c r="E26" s="2264"/>
      <c r="F26" s="2264"/>
      <c r="G26" s="2264"/>
      <c r="H26" s="2264"/>
      <c r="I26" s="2264"/>
      <c r="J26" s="2264"/>
      <c r="K26" s="2264"/>
    </row>
    <row r="27" spans="1:11" ht="11.25" customHeight="1" x14ac:dyDescent="0.25">
      <c r="A27" s="2268" t="s">
        <v>1389</v>
      </c>
      <c r="B27" s="2262"/>
      <c r="C27" s="2263"/>
      <c r="D27" s="2264"/>
      <c r="E27" s="2264"/>
      <c r="F27" s="2264"/>
      <c r="G27" s="2264"/>
      <c r="H27" s="2264"/>
      <c r="I27" s="2264"/>
      <c r="J27" s="2264"/>
      <c r="K27" s="2264"/>
    </row>
    <row r="28" spans="1:11" ht="11.25" customHeight="1" x14ac:dyDescent="0.25">
      <c r="A28" s="2270" t="s">
        <v>1098</v>
      </c>
      <c r="B28" s="2269"/>
      <c r="C28" s="2263"/>
      <c r="D28" s="2264"/>
      <c r="E28" s="2264"/>
      <c r="F28" s="2264"/>
      <c r="G28" s="2264"/>
      <c r="H28" s="2264"/>
      <c r="I28" s="2264"/>
      <c r="J28" s="2264"/>
      <c r="K28" s="2264"/>
    </row>
    <row r="29" spans="1:11" ht="11.25" customHeight="1" x14ac:dyDescent="0.25">
      <c r="A29" s="2261"/>
      <c r="B29" s="2269"/>
      <c r="C29" s="2263"/>
      <c r="D29" s="2264"/>
      <c r="E29" s="2264"/>
      <c r="F29" s="2264"/>
      <c r="G29" s="2264"/>
      <c r="H29" s="2264"/>
      <c r="I29" s="2264"/>
      <c r="J29" s="2264"/>
      <c r="K29" s="2264"/>
    </row>
    <row r="30" spans="1:11" ht="11.25" customHeight="1" x14ac:dyDescent="0.25">
      <c r="A30" s="2268" t="s">
        <v>1391</v>
      </c>
      <c r="B30" s="2272"/>
      <c r="C30" s="2273"/>
      <c r="D30" s="2274"/>
      <c r="E30" s="2274"/>
      <c r="F30" s="2274"/>
      <c r="G30" s="2274"/>
      <c r="H30" s="2274"/>
      <c r="I30" s="2274"/>
      <c r="J30" s="2274"/>
      <c r="K30" s="2274"/>
    </row>
    <row r="31" spans="1:11" ht="11.25" customHeight="1" x14ac:dyDescent="0.25">
      <c r="A31" s="2270" t="s">
        <v>1098</v>
      </c>
      <c r="B31" s="2269"/>
      <c r="C31" s="2263"/>
      <c r="D31" s="2264"/>
      <c r="E31" s="2264"/>
      <c r="F31" s="2264"/>
      <c r="G31" s="2264"/>
      <c r="H31" s="2264"/>
      <c r="I31" s="2264"/>
      <c r="J31" s="2264"/>
      <c r="K31" s="2264"/>
    </row>
    <row r="32" spans="1:11" ht="11.25" customHeight="1" x14ac:dyDescent="0.25">
      <c r="A32" s="2261"/>
      <c r="B32" s="2269"/>
      <c r="C32" s="2263"/>
      <c r="D32" s="2264"/>
      <c r="E32" s="2264"/>
      <c r="F32" s="2264"/>
      <c r="G32" s="2264"/>
      <c r="H32" s="2264"/>
      <c r="I32" s="2264"/>
      <c r="J32" s="2264"/>
      <c r="K32" s="2264"/>
    </row>
    <row r="33" spans="1:11" ht="11.25" customHeight="1" x14ac:dyDescent="0.25">
      <c r="A33" s="2268" t="s">
        <v>1392</v>
      </c>
      <c r="B33" s="2272"/>
      <c r="C33" s="2273"/>
      <c r="D33" s="2274"/>
      <c r="E33" s="2274"/>
      <c r="F33" s="2274"/>
      <c r="G33" s="2274"/>
      <c r="H33" s="2274"/>
      <c r="I33" s="2274"/>
      <c r="J33" s="2274"/>
      <c r="K33" s="2274"/>
    </row>
    <row r="34" spans="1:11" ht="11.25" customHeight="1" x14ac:dyDescent="0.25">
      <c r="A34" s="2270" t="s">
        <v>1098</v>
      </c>
      <c r="B34" s="2269"/>
      <c r="C34" s="2263"/>
      <c r="D34" s="2264"/>
      <c r="E34" s="2264"/>
      <c r="F34" s="2264"/>
      <c r="G34" s="2264"/>
      <c r="H34" s="2264"/>
      <c r="I34" s="2264"/>
      <c r="J34" s="2264"/>
      <c r="K34" s="2264"/>
    </row>
    <row r="35" spans="1:11" ht="11.25" customHeight="1" x14ac:dyDescent="0.25">
      <c r="A35" s="2261"/>
      <c r="B35" s="2262"/>
      <c r="C35" s="2263"/>
      <c r="D35" s="2264"/>
      <c r="E35" s="2264"/>
      <c r="F35" s="2264"/>
      <c r="G35" s="2264"/>
      <c r="H35" s="2264"/>
      <c r="I35" s="2264"/>
      <c r="J35" s="2264"/>
      <c r="K35" s="2264"/>
    </row>
    <row r="36" spans="1:11" ht="11.25" customHeight="1" x14ac:dyDescent="0.25">
      <c r="A36" s="2266" t="s">
        <v>1390</v>
      </c>
      <c r="B36" s="2272"/>
      <c r="C36" s="2273"/>
      <c r="D36" s="2274"/>
      <c r="E36" s="2274"/>
      <c r="F36" s="2274"/>
      <c r="G36" s="2274"/>
      <c r="H36" s="2274"/>
      <c r="I36" s="2274"/>
      <c r="J36" s="2274"/>
      <c r="K36" s="2274"/>
    </row>
    <row r="37" spans="1:11" ht="11.25" customHeight="1" x14ac:dyDescent="0.25">
      <c r="A37" s="2268" t="s">
        <v>1389</v>
      </c>
      <c r="B37" s="2269"/>
      <c r="C37" s="2263"/>
      <c r="D37" s="2264"/>
      <c r="E37" s="2264"/>
      <c r="F37" s="2264"/>
      <c r="G37" s="2264"/>
      <c r="H37" s="2264"/>
      <c r="I37" s="2264"/>
      <c r="J37" s="2264"/>
      <c r="K37" s="2264"/>
    </row>
    <row r="38" spans="1:11" ht="11.25" customHeight="1" x14ac:dyDescent="0.25">
      <c r="A38" s="2270" t="s">
        <v>1098</v>
      </c>
      <c r="B38" s="2269"/>
      <c r="C38" s="2263"/>
      <c r="D38" s="2264"/>
      <c r="E38" s="2264"/>
      <c r="F38" s="2264"/>
      <c r="G38" s="2264"/>
      <c r="H38" s="2264"/>
      <c r="I38" s="2264"/>
      <c r="J38" s="2264"/>
      <c r="K38" s="2264"/>
    </row>
    <row r="39" spans="1:11" ht="11.25" customHeight="1" x14ac:dyDescent="0.25">
      <c r="A39" s="2261"/>
      <c r="B39" s="2269"/>
      <c r="C39" s="2263"/>
      <c r="D39" s="2264"/>
      <c r="E39" s="2264"/>
      <c r="F39" s="2264"/>
      <c r="G39" s="2264"/>
      <c r="H39" s="2264"/>
      <c r="I39" s="2264"/>
      <c r="J39" s="2264"/>
      <c r="K39" s="2264"/>
    </row>
    <row r="40" spans="1:11" ht="11.25" customHeight="1" x14ac:dyDescent="0.25">
      <c r="A40" s="2268" t="s">
        <v>1391</v>
      </c>
      <c r="B40" s="2272"/>
      <c r="C40" s="2273"/>
      <c r="D40" s="2274"/>
      <c r="E40" s="2274"/>
      <c r="F40" s="2274"/>
      <c r="G40" s="2274"/>
      <c r="H40" s="2274"/>
      <c r="I40" s="2274"/>
      <c r="J40" s="2274"/>
      <c r="K40" s="2274"/>
    </row>
    <row r="41" spans="1:11" ht="11.25" customHeight="1" x14ac:dyDescent="0.25">
      <c r="A41" s="2270" t="s">
        <v>1098</v>
      </c>
      <c r="B41" s="2269"/>
      <c r="C41" s="2263"/>
      <c r="D41" s="2264"/>
      <c r="E41" s="2264"/>
      <c r="F41" s="2264"/>
      <c r="G41" s="2264"/>
      <c r="H41" s="2264"/>
      <c r="I41" s="2264"/>
      <c r="J41" s="2264"/>
      <c r="K41" s="2264"/>
    </row>
    <row r="42" spans="1:11" ht="11.25" customHeight="1" x14ac:dyDescent="0.25">
      <c r="A42" s="2261"/>
      <c r="B42" s="2269"/>
      <c r="C42" s="2263"/>
      <c r="D42" s="2264"/>
      <c r="E42" s="2264"/>
      <c r="F42" s="2264"/>
      <c r="G42" s="2264"/>
      <c r="H42" s="2264"/>
      <c r="I42" s="2264"/>
      <c r="J42" s="2264"/>
      <c r="K42" s="2264"/>
    </row>
    <row r="43" spans="1:11" ht="11.25" customHeight="1" x14ac:dyDescent="0.25">
      <c r="A43" s="2268" t="s">
        <v>1392</v>
      </c>
      <c r="B43" s="2275"/>
      <c r="C43" s="2273"/>
      <c r="D43" s="2274"/>
      <c r="E43" s="2274"/>
      <c r="F43" s="2274"/>
      <c r="G43" s="2274"/>
      <c r="H43" s="2274"/>
      <c r="I43" s="2274"/>
      <c r="J43" s="2274"/>
      <c r="K43" s="2274"/>
    </row>
    <row r="44" spans="1:11" ht="11.25" customHeight="1" x14ac:dyDescent="0.25">
      <c r="A44" s="2270" t="s">
        <v>1098</v>
      </c>
      <c r="B44" s="2269"/>
      <c r="C44" s="2263"/>
      <c r="D44" s="2264"/>
      <c r="E44" s="2264"/>
      <c r="F44" s="2264"/>
      <c r="G44" s="2264"/>
      <c r="H44" s="2264"/>
      <c r="I44" s="2264"/>
      <c r="J44" s="2264"/>
      <c r="K44" s="2264"/>
    </row>
    <row r="45" spans="1:11" ht="11.25" customHeight="1" x14ac:dyDescent="0.25">
      <c r="A45" s="2270"/>
      <c r="B45" s="2277"/>
      <c r="C45" s="2278"/>
      <c r="D45" s="2279"/>
      <c r="E45" s="2279"/>
      <c r="F45" s="2279"/>
      <c r="G45" s="2279"/>
      <c r="H45" s="2279"/>
      <c r="I45" s="2279"/>
      <c r="J45" s="2279"/>
      <c r="K45" s="2279"/>
    </row>
    <row r="46" spans="1:11" ht="11.25" customHeight="1" x14ac:dyDescent="0.25">
      <c r="A46" s="2261" t="s">
        <v>1394</v>
      </c>
      <c r="B46" s="2269"/>
      <c r="C46" s="2263"/>
      <c r="D46" s="2264"/>
      <c r="E46" s="2264"/>
      <c r="F46" s="2264"/>
      <c r="G46" s="2264"/>
      <c r="H46" s="2264"/>
      <c r="I46" s="2264"/>
      <c r="J46" s="2264"/>
      <c r="K46" s="2264"/>
    </row>
    <row r="47" spans="1:11" ht="11.25" customHeight="1" x14ac:dyDescent="0.25">
      <c r="A47" s="2266" t="s">
        <v>1388</v>
      </c>
      <c r="B47" s="2269"/>
      <c r="C47" s="2263"/>
      <c r="D47" s="2264"/>
      <c r="E47" s="2264"/>
      <c r="F47" s="2264"/>
      <c r="G47" s="2264"/>
      <c r="H47" s="2264"/>
      <c r="I47" s="2264"/>
      <c r="J47" s="2264"/>
      <c r="K47" s="2264"/>
    </row>
    <row r="48" spans="1:11" ht="11.25" customHeight="1" x14ac:dyDescent="0.25">
      <c r="A48" s="2268" t="s">
        <v>1389</v>
      </c>
      <c r="B48" s="2269"/>
      <c r="C48" s="2263"/>
      <c r="D48" s="2264"/>
      <c r="E48" s="2264"/>
      <c r="F48" s="2264"/>
      <c r="G48" s="2264"/>
      <c r="H48" s="2264"/>
      <c r="I48" s="2264"/>
      <c r="J48" s="2264"/>
      <c r="K48" s="2264"/>
    </row>
    <row r="49" spans="1:11" ht="11.25" customHeight="1" x14ac:dyDescent="0.25">
      <c r="A49" s="2270" t="s">
        <v>1098</v>
      </c>
      <c r="B49" s="2269"/>
      <c r="C49" s="2263"/>
      <c r="D49" s="2264"/>
      <c r="E49" s="2264"/>
      <c r="F49" s="2264"/>
      <c r="G49" s="2264"/>
      <c r="H49" s="2264"/>
      <c r="I49" s="2264"/>
      <c r="J49" s="2264"/>
      <c r="K49" s="2264"/>
    </row>
    <row r="50" spans="1:11" ht="11.25" customHeight="1" x14ac:dyDescent="0.25">
      <c r="A50" s="2261"/>
      <c r="B50" s="2269"/>
      <c r="C50" s="2263"/>
      <c r="D50" s="2264"/>
      <c r="E50" s="2264"/>
      <c r="F50" s="2264"/>
      <c r="G50" s="2264"/>
      <c r="H50" s="2264"/>
      <c r="I50" s="2264"/>
      <c r="J50" s="2264"/>
      <c r="K50" s="2264"/>
    </row>
    <row r="51" spans="1:11" ht="11.25" customHeight="1" x14ac:dyDescent="0.25">
      <c r="A51" s="2268" t="s">
        <v>1391</v>
      </c>
      <c r="B51" s="2272"/>
      <c r="C51" s="2273"/>
      <c r="D51" s="2274"/>
      <c r="E51" s="2274"/>
      <c r="F51" s="2274"/>
      <c r="G51" s="2274"/>
      <c r="H51" s="2274"/>
      <c r="I51" s="2274"/>
      <c r="J51" s="2274"/>
      <c r="K51" s="2274"/>
    </row>
    <row r="52" spans="1:11" ht="11.25" customHeight="1" x14ac:dyDescent="0.25">
      <c r="A52" s="2270" t="s">
        <v>1098</v>
      </c>
      <c r="B52" s="2269"/>
      <c r="C52" s="2263"/>
      <c r="D52" s="2264"/>
      <c r="E52" s="2264"/>
      <c r="F52" s="2264"/>
      <c r="G52" s="2264"/>
      <c r="H52" s="2264"/>
      <c r="I52" s="2264"/>
      <c r="J52" s="2264"/>
      <c r="K52" s="2264"/>
    </row>
    <row r="53" spans="1:11" ht="11.25" customHeight="1" x14ac:dyDescent="0.25">
      <c r="A53" s="2261"/>
      <c r="B53" s="2269"/>
      <c r="C53" s="2263"/>
      <c r="D53" s="2264"/>
      <c r="E53" s="2264"/>
      <c r="F53" s="2264"/>
      <c r="G53" s="2264"/>
      <c r="H53" s="2264"/>
      <c r="I53" s="2264"/>
      <c r="J53" s="2264"/>
      <c r="K53" s="2264"/>
    </row>
    <row r="54" spans="1:11" ht="11.25" customHeight="1" x14ac:dyDescent="0.25">
      <c r="A54" s="2268" t="s">
        <v>1392</v>
      </c>
      <c r="B54" s="2272"/>
      <c r="C54" s="2273"/>
      <c r="D54" s="2274"/>
      <c r="E54" s="2274"/>
      <c r="F54" s="2274"/>
      <c r="G54" s="2274"/>
      <c r="H54" s="2274"/>
      <c r="I54" s="2274"/>
      <c r="J54" s="2274"/>
      <c r="K54" s="2274"/>
    </row>
    <row r="55" spans="1:11" ht="11.25" customHeight="1" x14ac:dyDescent="0.25">
      <c r="A55" s="2270" t="s">
        <v>1098</v>
      </c>
      <c r="B55" s="2269"/>
      <c r="C55" s="2263"/>
      <c r="D55" s="2264"/>
      <c r="E55" s="2264"/>
      <c r="F55" s="2264"/>
      <c r="G55" s="2264"/>
      <c r="H55" s="2264"/>
      <c r="I55" s="2264"/>
      <c r="J55" s="2264"/>
      <c r="K55" s="2264"/>
    </row>
    <row r="56" spans="1:11" ht="11.25" customHeight="1" x14ac:dyDescent="0.25">
      <c r="A56" s="2261"/>
      <c r="B56" s="2269"/>
      <c r="C56" s="2263"/>
      <c r="D56" s="2264"/>
      <c r="E56" s="2264"/>
      <c r="F56" s="2264"/>
      <c r="G56" s="2264"/>
      <c r="H56" s="2264"/>
      <c r="I56" s="2264"/>
      <c r="J56" s="2264"/>
      <c r="K56" s="2264"/>
    </row>
    <row r="57" spans="1:11" ht="11.25" customHeight="1" x14ac:dyDescent="0.25">
      <c r="A57" s="2266" t="s">
        <v>1390</v>
      </c>
      <c r="B57" s="2272"/>
      <c r="C57" s="2273"/>
      <c r="D57" s="2274"/>
      <c r="E57" s="2274"/>
      <c r="F57" s="2274"/>
      <c r="G57" s="2274"/>
      <c r="H57" s="2274"/>
      <c r="I57" s="2274"/>
      <c r="J57" s="2274"/>
      <c r="K57" s="2274"/>
    </row>
    <row r="58" spans="1:11" ht="11.25" customHeight="1" x14ac:dyDescent="0.25">
      <c r="A58" s="2268" t="s">
        <v>1389</v>
      </c>
      <c r="B58" s="2269"/>
      <c r="C58" s="2263"/>
      <c r="D58" s="2264"/>
      <c r="E58" s="2264"/>
      <c r="F58" s="2264"/>
      <c r="G58" s="2264"/>
      <c r="H58" s="2264"/>
      <c r="I58" s="2264"/>
      <c r="J58" s="2264"/>
      <c r="K58" s="2264"/>
    </row>
    <row r="59" spans="1:11" ht="11.25" customHeight="1" x14ac:dyDescent="0.25">
      <c r="A59" s="2270" t="s">
        <v>1098</v>
      </c>
      <c r="B59" s="2269"/>
      <c r="C59" s="2263"/>
      <c r="D59" s="2264"/>
      <c r="E59" s="2264"/>
      <c r="F59" s="2264"/>
      <c r="G59" s="2264"/>
      <c r="H59" s="2264"/>
      <c r="I59" s="2264"/>
      <c r="J59" s="2264"/>
      <c r="K59" s="2264"/>
    </row>
    <row r="60" spans="1:11" ht="11.25" customHeight="1" x14ac:dyDescent="0.25">
      <c r="A60" s="2261"/>
      <c r="B60" s="2269"/>
      <c r="C60" s="2263"/>
      <c r="D60" s="2264"/>
      <c r="E60" s="2264"/>
      <c r="F60" s="2264"/>
      <c r="G60" s="2264"/>
      <c r="H60" s="2264"/>
      <c r="I60" s="2264"/>
      <c r="J60" s="2264"/>
      <c r="K60" s="2264"/>
    </row>
    <row r="61" spans="1:11" ht="11.25" customHeight="1" x14ac:dyDescent="0.25">
      <c r="A61" s="2268" t="s">
        <v>1391</v>
      </c>
      <c r="B61" s="2272"/>
      <c r="C61" s="2273"/>
      <c r="D61" s="2274"/>
      <c r="E61" s="2274"/>
      <c r="F61" s="2274"/>
      <c r="G61" s="2274"/>
      <c r="H61" s="2274"/>
      <c r="I61" s="2274"/>
      <c r="J61" s="2274"/>
      <c r="K61" s="2274"/>
    </row>
    <row r="62" spans="1:11" ht="11.25" customHeight="1" x14ac:dyDescent="0.25">
      <c r="A62" s="2270" t="s">
        <v>1098</v>
      </c>
      <c r="B62" s="2269"/>
      <c r="C62" s="2263"/>
      <c r="D62" s="2264"/>
      <c r="E62" s="2264"/>
      <c r="F62" s="2264"/>
      <c r="G62" s="2264"/>
      <c r="H62" s="2264"/>
      <c r="I62" s="2264"/>
      <c r="J62" s="2264"/>
      <c r="K62" s="2264"/>
    </row>
    <row r="63" spans="1:11" ht="11.25" customHeight="1" x14ac:dyDescent="0.25">
      <c r="A63" s="2261"/>
      <c r="B63" s="2269"/>
      <c r="C63" s="2263"/>
      <c r="D63" s="2264"/>
      <c r="E63" s="2264"/>
      <c r="F63" s="2264"/>
      <c r="G63" s="2264"/>
      <c r="H63" s="2264"/>
      <c r="I63" s="2264"/>
      <c r="J63" s="2264"/>
      <c r="K63" s="2264"/>
    </row>
    <row r="64" spans="1:11" ht="11.25" customHeight="1" x14ac:dyDescent="0.25">
      <c r="A64" s="2268" t="s">
        <v>1392</v>
      </c>
      <c r="B64" s="2272"/>
      <c r="C64" s="2273"/>
      <c r="D64" s="2274"/>
      <c r="E64" s="2274"/>
      <c r="F64" s="2274"/>
      <c r="G64" s="2274"/>
      <c r="H64" s="2274"/>
      <c r="I64" s="2274"/>
      <c r="J64" s="2274"/>
      <c r="K64" s="2274"/>
    </row>
    <row r="65" spans="1:11" ht="11.25" customHeight="1" x14ac:dyDescent="0.25">
      <c r="A65" s="2270" t="s">
        <v>1098</v>
      </c>
      <c r="B65" s="2269"/>
      <c r="C65" s="2263"/>
      <c r="D65" s="2264"/>
      <c r="E65" s="2264"/>
      <c r="F65" s="2264"/>
      <c r="G65" s="2264"/>
      <c r="H65" s="2264"/>
      <c r="I65" s="2264"/>
      <c r="J65" s="2264"/>
      <c r="K65" s="2264"/>
    </row>
    <row r="66" spans="1:11" ht="11.25" customHeight="1" x14ac:dyDescent="0.25">
      <c r="A66" s="2270"/>
      <c r="B66" s="2269"/>
      <c r="C66" s="2263"/>
      <c r="D66" s="2264"/>
      <c r="E66" s="2264"/>
      <c r="F66" s="2264"/>
      <c r="G66" s="2264"/>
      <c r="H66" s="2264"/>
      <c r="I66" s="2264"/>
      <c r="J66" s="2264"/>
      <c r="K66" s="2264"/>
    </row>
    <row r="67" spans="1:11" ht="11.25" customHeight="1" x14ac:dyDescent="0.25">
      <c r="A67" s="2280" t="s">
        <v>1395</v>
      </c>
      <c r="B67" s="2277"/>
      <c r="C67" s="2278"/>
      <c r="D67" s="2279"/>
      <c r="E67" s="2279"/>
      <c r="F67" s="2279"/>
      <c r="G67" s="2279"/>
      <c r="H67" s="2279"/>
      <c r="I67" s="2279"/>
      <c r="J67" s="2279"/>
      <c r="K67" s="2279"/>
    </row>
    <row r="68" spans="1:11" ht="11.25" customHeight="1" x14ac:dyDescent="0.25">
      <c r="A68" s="2740" t="s">
        <v>172</v>
      </c>
      <c r="B68" s="2740"/>
      <c r="C68" s="2740"/>
      <c r="D68" s="2740"/>
      <c r="E68" s="2740"/>
      <c r="F68" s="2740"/>
      <c r="G68" s="2740"/>
      <c r="H68" s="2740"/>
      <c r="I68" s="2740"/>
      <c r="J68" s="2740"/>
      <c r="K68" s="2740"/>
    </row>
    <row r="69" spans="1:11" ht="11.25" customHeight="1" x14ac:dyDescent="0.25">
      <c r="A69" s="2281" t="s">
        <v>1387</v>
      </c>
      <c r="B69" s="2282"/>
      <c r="C69" s="402"/>
      <c r="D69" s="402"/>
      <c r="E69" s="402"/>
      <c r="F69" s="402"/>
      <c r="G69" s="402"/>
      <c r="H69" s="402"/>
      <c r="I69" s="402"/>
      <c r="J69" s="402"/>
      <c r="K69" s="402"/>
    </row>
    <row r="70" spans="1:11" ht="11.25" customHeight="1" x14ac:dyDescent="0.25">
      <c r="A70" s="2281" t="s">
        <v>1358</v>
      </c>
      <c r="B70" s="2282"/>
      <c r="C70" s="402"/>
      <c r="D70" s="402"/>
      <c r="E70" s="402"/>
      <c r="F70" s="402"/>
      <c r="G70" s="402"/>
      <c r="H70" s="402"/>
      <c r="I70" s="402"/>
      <c r="J70" s="402"/>
      <c r="K70" s="402"/>
    </row>
    <row r="71" spans="1:11" ht="12.75" x14ac:dyDescent="0.25">
      <c r="B71" s="2283"/>
    </row>
    <row r="72" spans="1:11" ht="12.75" customHeight="1" x14ac:dyDescent="0.25">
      <c r="A72" s="1997" t="s">
        <v>2533</v>
      </c>
      <c r="B72" s="1997"/>
      <c r="C72" s="1997"/>
      <c r="D72" s="1997"/>
      <c r="E72" s="1997"/>
      <c r="F72" s="1997"/>
      <c r="G72" s="1997"/>
      <c r="H72" s="1997"/>
      <c r="I72" s="1997"/>
      <c r="J72" s="1997"/>
      <c r="K72" s="1997"/>
    </row>
    <row r="73" spans="1:11" ht="28.5" customHeight="1" x14ac:dyDescent="0.25">
      <c r="A73" s="2738" t="s">
        <v>775</v>
      </c>
      <c r="B73" s="2736" t="s">
        <v>422</v>
      </c>
      <c r="C73" s="1995" t="s">
        <v>2478</v>
      </c>
      <c r="D73" s="149" t="s">
        <v>2479</v>
      </c>
      <c r="E73" s="1996" t="s">
        <v>2480</v>
      </c>
      <c r="F73" s="2700" t="s">
        <v>2481</v>
      </c>
      <c r="G73" s="2701"/>
      <c r="H73" s="2705"/>
      <c r="I73" s="2697" t="s">
        <v>2482</v>
      </c>
      <c r="J73" s="2698"/>
      <c r="K73" s="2699"/>
    </row>
    <row r="74" spans="1:11" ht="25.5" x14ac:dyDescent="0.25">
      <c r="A74" s="2739"/>
      <c r="B74" s="2737"/>
      <c r="C74" s="2018" t="s">
        <v>1065</v>
      </c>
      <c r="D74" s="2009" t="s">
        <v>1065</v>
      </c>
      <c r="E74" s="354" t="s">
        <v>1065</v>
      </c>
      <c r="F74" s="2004" t="s">
        <v>467</v>
      </c>
      <c r="G74" s="2009" t="s">
        <v>1807</v>
      </c>
      <c r="H74" s="354" t="s">
        <v>1808</v>
      </c>
      <c r="I74" s="2004" t="s">
        <v>2483</v>
      </c>
      <c r="J74" s="2009" t="s">
        <v>2484</v>
      </c>
      <c r="K74" s="354" t="s">
        <v>2485</v>
      </c>
    </row>
    <row r="75" spans="1:11" ht="11.25" customHeight="1" x14ac:dyDescent="0.25">
      <c r="A75" s="2276" t="s">
        <v>1396</v>
      </c>
      <c r="B75" s="2262"/>
      <c r="C75" s="2284"/>
      <c r="D75" s="2285"/>
      <c r="E75" s="2286"/>
      <c r="F75" s="2287"/>
      <c r="G75" s="2285"/>
      <c r="H75" s="2288"/>
      <c r="I75" s="2289"/>
      <c r="J75" s="2285"/>
      <c r="K75" s="2286"/>
    </row>
    <row r="76" spans="1:11" ht="11.25" customHeight="1" x14ac:dyDescent="0.25">
      <c r="A76" s="2290" t="s">
        <v>1098</v>
      </c>
      <c r="B76" s="2269"/>
      <c r="C76" s="2284"/>
      <c r="D76" s="2285"/>
      <c r="E76" s="2286"/>
      <c r="F76" s="2287"/>
      <c r="G76" s="2285"/>
      <c r="H76" s="2288"/>
      <c r="I76" s="2291"/>
      <c r="J76" s="2285"/>
      <c r="K76" s="2286"/>
    </row>
    <row r="77" spans="1:11" ht="11.25" customHeight="1" x14ac:dyDescent="0.25">
      <c r="A77" s="2290"/>
      <c r="B77" s="2269"/>
      <c r="C77" s="2284"/>
      <c r="D77" s="2285"/>
      <c r="E77" s="2286"/>
      <c r="F77" s="2287"/>
      <c r="G77" s="2285"/>
      <c r="H77" s="2288"/>
      <c r="I77" s="2291"/>
      <c r="J77" s="2285"/>
      <c r="K77" s="2286"/>
    </row>
    <row r="78" spans="1:11" ht="11.25" customHeight="1" x14ac:dyDescent="0.25">
      <c r="A78" s="2292"/>
      <c r="B78" s="2269"/>
      <c r="C78" s="2284"/>
      <c r="D78" s="2285"/>
      <c r="E78" s="2286"/>
      <c r="F78" s="2287"/>
      <c r="G78" s="2285"/>
      <c r="H78" s="2288"/>
      <c r="I78" s="2291"/>
      <c r="J78" s="2285"/>
      <c r="K78" s="2286"/>
    </row>
    <row r="79" spans="1:11" ht="11.25" customHeight="1" x14ac:dyDescent="0.25">
      <c r="A79" s="2276" t="s">
        <v>1397</v>
      </c>
      <c r="B79" s="2293"/>
      <c r="C79" s="2294"/>
      <c r="D79" s="2295"/>
      <c r="E79" s="2296"/>
      <c r="F79" s="2297"/>
      <c r="G79" s="2295"/>
      <c r="H79" s="2298"/>
      <c r="I79" s="2289"/>
      <c r="J79" s="2295"/>
      <c r="K79" s="2296"/>
    </row>
    <row r="80" spans="1:11" ht="11.25" customHeight="1" x14ac:dyDescent="0.25">
      <c r="A80" s="2290" t="s">
        <v>1098</v>
      </c>
      <c r="B80" s="2269"/>
      <c r="C80" s="2284"/>
      <c r="D80" s="2285"/>
      <c r="E80" s="2286"/>
      <c r="F80" s="2287"/>
      <c r="G80" s="2285"/>
      <c r="H80" s="2288"/>
      <c r="I80" s="2291"/>
      <c r="J80" s="2285"/>
      <c r="K80" s="2286"/>
    </row>
    <row r="81" spans="1:11" ht="11.25" customHeight="1" x14ac:dyDescent="0.25">
      <c r="A81" s="2290"/>
      <c r="B81" s="2269"/>
      <c r="C81" s="2284"/>
      <c r="D81" s="2285"/>
      <c r="E81" s="2286"/>
      <c r="F81" s="2287"/>
      <c r="G81" s="2285"/>
      <c r="H81" s="2288"/>
      <c r="I81" s="2291"/>
      <c r="J81" s="2285"/>
      <c r="K81" s="2286"/>
    </row>
    <row r="82" spans="1:11" ht="11.25" customHeight="1" x14ac:dyDescent="0.25">
      <c r="A82" s="2290"/>
      <c r="B82" s="2299"/>
      <c r="C82" s="2300"/>
      <c r="D82" s="2301"/>
      <c r="E82" s="2302"/>
      <c r="F82" s="2303"/>
      <c r="G82" s="2301"/>
      <c r="H82" s="2304"/>
      <c r="I82" s="2305"/>
      <c r="J82" s="2301"/>
      <c r="K82" s="2302"/>
    </row>
    <row r="83" spans="1:11" ht="11.25" customHeight="1" x14ac:dyDescent="0.25">
      <c r="A83" s="2276" t="s">
        <v>1398</v>
      </c>
      <c r="B83" s="2306"/>
      <c r="C83" s="2307"/>
      <c r="D83" s="2308"/>
      <c r="E83" s="2309"/>
      <c r="F83" s="2310"/>
      <c r="G83" s="2308"/>
      <c r="H83" s="2311"/>
      <c r="I83" s="2312"/>
      <c r="J83" s="2308"/>
      <c r="K83" s="2309"/>
    </row>
    <row r="84" spans="1:11" ht="11.25" customHeight="1" x14ac:dyDescent="0.25">
      <c r="A84" s="2290" t="s">
        <v>1098</v>
      </c>
      <c r="B84" s="2269"/>
      <c r="C84" s="2313"/>
      <c r="D84" s="2314"/>
      <c r="E84" s="2315"/>
      <c r="F84" s="2316"/>
      <c r="G84" s="2314"/>
      <c r="H84" s="2317"/>
      <c r="I84" s="2318"/>
      <c r="J84" s="2314"/>
      <c r="K84" s="2315"/>
    </row>
    <row r="85" spans="1:11" ht="11.25" customHeight="1" x14ac:dyDescent="0.25">
      <c r="A85" s="2290"/>
      <c r="B85" s="2299"/>
      <c r="C85" s="2300"/>
      <c r="D85" s="2301"/>
      <c r="E85" s="2302"/>
      <c r="F85" s="2303"/>
      <c r="G85" s="2301"/>
      <c r="H85" s="2304"/>
      <c r="I85" s="2305"/>
      <c r="J85" s="2301"/>
      <c r="K85" s="2302"/>
    </row>
    <row r="86" spans="1:11" ht="11.25" customHeight="1" x14ac:dyDescent="0.25">
      <c r="A86" s="2290"/>
      <c r="B86" s="2299"/>
      <c r="C86" s="2300"/>
      <c r="D86" s="2301"/>
      <c r="E86" s="2302"/>
      <c r="F86" s="2303"/>
      <c r="G86" s="2301"/>
      <c r="H86" s="2304"/>
      <c r="I86" s="2305"/>
      <c r="J86" s="2301"/>
      <c r="K86" s="2302"/>
    </row>
    <row r="87" spans="1:11" ht="11.25" customHeight="1" x14ac:dyDescent="0.25">
      <c r="A87" s="2280" t="s">
        <v>1399</v>
      </c>
      <c r="B87" s="2319"/>
      <c r="C87" s="2320"/>
      <c r="D87" s="2321"/>
      <c r="E87" s="2322"/>
      <c r="F87" s="2323"/>
      <c r="G87" s="2321"/>
      <c r="H87" s="2324"/>
      <c r="I87" s="2325"/>
      <c r="J87" s="2321"/>
      <c r="K87" s="2322"/>
    </row>
    <row r="88" spans="1:11" ht="11.25" customHeight="1" x14ac:dyDescent="0.25">
      <c r="A88" s="2740" t="s">
        <v>173</v>
      </c>
      <c r="B88" s="2740"/>
      <c r="C88" s="2740"/>
      <c r="D88" s="2740"/>
      <c r="E88" s="2740"/>
      <c r="F88" s="2740"/>
      <c r="G88" s="2740"/>
      <c r="H88" s="2740"/>
      <c r="I88" s="2740"/>
      <c r="J88" s="2740"/>
      <c r="K88" s="2740"/>
    </row>
    <row r="89" spans="1:11" ht="11.25" customHeight="1" x14ac:dyDescent="0.25">
      <c r="A89" s="2281" t="s">
        <v>1359</v>
      </c>
      <c r="B89" s="2282"/>
      <c r="C89" s="402"/>
      <c r="D89" s="402"/>
      <c r="E89" s="402"/>
      <c r="F89" s="402"/>
      <c r="G89" s="402"/>
      <c r="H89" s="402"/>
      <c r="I89" s="402"/>
      <c r="J89" s="402"/>
      <c r="K89" s="402"/>
    </row>
  </sheetData>
  <mergeCells count="10">
    <mergeCell ref="B2:B3"/>
    <mergeCell ref="A2:A3"/>
    <mergeCell ref="F2:H2"/>
    <mergeCell ref="I2:K2"/>
    <mergeCell ref="A88:K88"/>
    <mergeCell ref="A68:K68"/>
    <mergeCell ref="A73:A74"/>
    <mergeCell ref="B73:B74"/>
    <mergeCell ref="F73:H73"/>
    <mergeCell ref="I73:K73"/>
  </mergeCells>
  <phoneticPr fontId="4" type="noConversion"/>
  <pageMargins left="0.75" right="0.75" top="1" bottom="1" header="0.5" footer="0.5"/>
  <pageSetup scale="62"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enableFormatConditionsCalculation="0">
    <tabColor indexed="42"/>
    <pageSetUpPr fitToPage="1"/>
  </sheetPr>
  <dimension ref="A1:M45"/>
  <sheetViews>
    <sheetView showGridLines="0" tabSelected="1" workbookViewId="0">
      <pane xSplit="2" ySplit="3" topLeftCell="C20"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29.28515625" style="148" customWidth="1"/>
    <col min="2" max="2" width="25.140625" style="148" customWidth="1"/>
    <col min="3" max="12" width="8.7109375" style="148" customWidth="1"/>
    <col min="13" max="16384" width="9.140625" style="148"/>
  </cols>
  <sheetData>
    <row r="1" spans="1:12" s="178" customFormat="1" x14ac:dyDescent="0.2">
      <c r="A1" s="146" t="str">
        <f>muni&amp;" - "&amp;TableA8</f>
        <v>NC071 Ubuntu - Supporting Table SA8 Performance indicators and benchmarks</v>
      </c>
      <c r="B1" s="146"/>
      <c r="C1" s="146"/>
      <c r="D1" s="146"/>
      <c r="E1" s="146"/>
      <c r="F1" s="146"/>
      <c r="G1" s="146"/>
      <c r="H1" s="146"/>
      <c r="I1" s="146"/>
      <c r="J1" s="146"/>
      <c r="K1" s="146"/>
      <c r="L1" s="146"/>
    </row>
    <row r="2" spans="1:12" ht="28.5" customHeight="1" x14ac:dyDescent="0.25">
      <c r="A2" s="2738" t="s">
        <v>341</v>
      </c>
      <c r="B2" s="2736" t="s">
        <v>1091</v>
      </c>
      <c r="C2" s="144" t="str">
        <f>head1b</f>
        <v>2008/9</v>
      </c>
      <c r="D2" s="149" t="str">
        <f>head1A</f>
        <v>2009/10</v>
      </c>
      <c r="E2" s="145" t="str">
        <f>Head1</f>
        <v>2010/11</v>
      </c>
      <c r="F2" s="2700" t="str">
        <f>Head2</f>
        <v>Current Year 2011/12</v>
      </c>
      <c r="G2" s="2701"/>
      <c r="H2" s="2701"/>
      <c r="I2" s="2701"/>
      <c r="J2" s="2697" t="str">
        <f>Head3</f>
        <v>2012/13 Medium Term Revenue &amp; Expenditure Framework</v>
      </c>
      <c r="K2" s="2698"/>
      <c r="L2" s="2699"/>
    </row>
    <row r="3" spans="1:12" ht="38.25" x14ac:dyDescent="0.25">
      <c r="A3" s="2739"/>
      <c r="B3" s="2737"/>
      <c r="C3" s="153" t="str">
        <f>Head5</f>
        <v>Audited Outcome</v>
      </c>
      <c r="D3" s="151" t="str">
        <f>Head5</f>
        <v>Audited Outcome</v>
      </c>
      <c r="E3" s="152" t="str">
        <f>Head5</f>
        <v>Audited Outcome</v>
      </c>
      <c r="F3" s="150" t="str">
        <f>Head6</f>
        <v>Original Budget</v>
      </c>
      <c r="G3" s="151" t="str">
        <f>Head7</f>
        <v>Adjusted Budget</v>
      </c>
      <c r="H3" s="152" t="str">
        <f>Head8</f>
        <v>Full Year Forecast</v>
      </c>
      <c r="I3" s="153" t="str">
        <f>Head5b</f>
        <v>Pre-audit outcome</v>
      </c>
      <c r="J3" s="150" t="str">
        <f>Head9</f>
        <v>Budget Year 2012/13</v>
      </c>
      <c r="K3" s="151" t="str">
        <f>Head10</f>
        <v>Budget Year +1 2013/14</v>
      </c>
      <c r="L3" s="152" t="str">
        <f>Head11</f>
        <v>Budget Year +2 2014/15</v>
      </c>
    </row>
    <row r="4" spans="1:12" x14ac:dyDescent="0.25">
      <c r="A4" s="404" t="s">
        <v>794</v>
      </c>
      <c r="B4" s="405"/>
      <c r="C4" s="406"/>
      <c r="D4" s="394"/>
      <c r="E4" s="407"/>
      <c r="F4" s="408"/>
      <c r="G4" s="394"/>
      <c r="H4" s="407"/>
      <c r="I4" s="409"/>
      <c r="J4" s="406"/>
      <c r="K4" s="394"/>
      <c r="L4" s="407"/>
    </row>
    <row r="5" spans="1:12" ht="5.25" customHeight="1" x14ac:dyDescent="0.25">
      <c r="A5" s="416"/>
      <c r="B5" s="410"/>
      <c r="C5" s="411"/>
      <c r="D5" s="412"/>
      <c r="E5" s="413"/>
      <c r="F5" s="414"/>
      <c r="G5" s="412"/>
      <c r="H5" s="413"/>
      <c r="I5" s="415"/>
      <c r="J5" s="411"/>
      <c r="K5" s="412"/>
      <c r="L5" s="413"/>
    </row>
    <row r="6" spans="1:12" x14ac:dyDescent="0.25">
      <c r="A6" s="416" t="s">
        <v>956</v>
      </c>
      <c r="B6" s="410"/>
      <c r="C6" s="1359"/>
      <c r="D6" s="1360"/>
      <c r="E6" s="1361"/>
      <c r="F6" s="1362"/>
      <c r="G6" s="1360"/>
      <c r="H6" s="1361"/>
      <c r="I6" s="1363"/>
      <c r="J6" s="417"/>
      <c r="K6" s="418"/>
      <c r="L6" s="419"/>
    </row>
    <row r="7" spans="1:12" ht="25.5" x14ac:dyDescent="0.25">
      <c r="A7" s="416" t="s">
        <v>591</v>
      </c>
      <c r="B7" s="410" t="s">
        <v>1453</v>
      </c>
      <c r="C7" s="411">
        <f>IF(ISERROR(('A4-FinPerf RE'!C29-'A7-CFlow'!C33)/'A4-FinPerf RE'!C36),0,(('A4-FinPerf RE'!C29-'A7-CFlow'!C33)/'A4-FinPerf RE'!C36))</f>
        <v>1.9688521803794521E-2</v>
      </c>
      <c r="D7" s="412">
        <f>IF(ISERROR(('A4-FinPerf RE'!D29-'A7-CFlow'!D33)/'A4-FinPerf RE'!D36),0,(('A4-FinPerf RE'!D29-'A7-CFlow'!D33)/'A4-FinPerf RE'!D36))</f>
        <v>1.835392211777272E-2</v>
      </c>
      <c r="E7" s="413">
        <f>IF(ISERROR(('A4-FinPerf RE'!E29-'A7-CFlow'!E33)/'A4-FinPerf RE'!E36),0,(('A4-FinPerf RE'!E29-'A7-CFlow'!E33)/'A4-FinPerf RE'!E36))</f>
        <v>1.6760874941015552E-2</v>
      </c>
      <c r="F7" s="414">
        <f>IF(ISERROR(('A4-FinPerf RE'!F29-'A7-CFlow'!F33)/'A4-FinPerf RE'!F36),0,(('A4-FinPerf RE'!F29-'A7-CFlow'!F33)/'A4-FinPerf RE'!F36))</f>
        <v>3.3518162888448229E-2</v>
      </c>
      <c r="G7" s="412">
        <f>IF(ISERROR(('A4-FinPerf RE'!G29-'A7-CFlow'!G33)/'A4-FinPerf RE'!G36),0,(('A4-FinPerf RE'!G29-'A7-CFlow'!G33)/'A4-FinPerf RE'!G36))</f>
        <v>8.8264316946077941E-3</v>
      </c>
      <c r="H7" s="413">
        <f>IF(ISERROR(('A4-FinPerf RE'!H29-'A7-CFlow'!H33)/'A4-FinPerf RE'!H36),0,(('A4-FinPerf RE'!H29-'A7-CFlow'!H33)/'A4-FinPerf RE'!H36))</f>
        <v>8.8264316946077941E-3</v>
      </c>
      <c r="I7" s="415">
        <f>IF(ISERROR(('A4-FinPerf RE'!I29-'A7-CFlow'!I33)/'A4-FinPerf RE'!I36),0,(('A4-FinPerf RE'!I29-'A7-CFlow'!I33)/'A4-FinPerf RE'!I36))</f>
        <v>8.8264316946077941E-3</v>
      </c>
      <c r="J7" s="411">
        <f>IF(ISERROR(('A4-FinPerf RE'!J29-'A7-CFlow'!J33)/'A4-FinPerf RE'!J36),0,(('A4-FinPerf RE'!J29-'A7-CFlow'!J33)/'A4-FinPerf RE'!J36))</f>
        <v>1.026526739022934E-2</v>
      </c>
      <c r="K7" s="412">
        <f>IF(ISERROR(('A4-FinPerf RE'!K29-'A7-CFlow'!K33)/'A4-FinPerf RE'!K36),0,(('A4-FinPerf RE'!K29-'A7-CFlow'!K33)/'A4-FinPerf RE'!K36))</f>
        <v>1.0068325908883704E-2</v>
      </c>
      <c r="L7" s="413">
        <f>IF(ISERROR(('A4-FinPerf RE'!L29-'A7-CFlow'!L33)/'A4-FinPerf RE'!L36),0,(('A4-FinPerf RE'!L29-'A7-CFlow'!L33)/'A4-FinPerf RE'!L36))</f>
        <v>9.8747203810102824E-3</v>
      </c>
    </row>
    <row r="8" spans="1:12" ht="25.5" x14ac:dyDescent="0.25">
      <c r="A8" s="416" t="s">
        <v>2210</v>
      </c>
      <c r="B8" s="410" t="s">
        <v>2222</v>
      </c>
      <c r="C8" s="411">
        <f>IF(ISERROR(('A4-FinPerf RE'!C29-'A7-CFlow'!C33)/('A4-FinPerf RE'!C22-'A4-FinPerf RE'!C19)),0,(('A4-FinPerf RE'!C29-'A7-CFlow'!C33)/('A4-FinPerf RE'!C22-'A4-FinPerf RE'!C19)))</f>
        <v>2.9193491254222884E-2</v>
      </c>
      <c r="D8" s="412">
        <f>IF(ISERROR(('A4-FinPerf RE'!D29-'A7-CFlow'!D33)/('A4-FinPerf RE'!D22-'A4-FinPerf RE'!D19)),0,(('A4-FinPerf RE'!D29-'A7-CFlow'!D33)/('A4-FinPerf RE'!D22-'A4-FinPerf RE'!D19)))</f>
        <v>3.0429323634927837E-2</v>
      </c>
      <c r="E8" s="413">
        <f>IF(ISERROR(('A4-FinPerf RE'!E29-'A7-CFlow'!E33)/('A4-FinPerf RE'!E22-'A4-FinPerf RE'!E19)),0,(('A4-FinPerf RE'!E29-'A7-CFlow'!E33)/('A4-FinPerf RE'!E22-'A4-FinPerf RE'!E19)))</f>
        <v>2.685964439404806E-2</v>
      </c>
      <c r="F8" s="414">
        <f>IF(ISERROR(('A4-FinPerf RE'!F29-'A7-CFlow'!F33)/('A4-FinPerf RE'!F22-'A4-FinPerf RE'!F19)),0,(('A4-FinPerf RE'!F29-'A7-CFlow'!F33)/('A4-FinPerf RE'!F22-'A4-FinPerf RE'!F19)))</f>
        <v>6.6640158853102954E-2</v>
      </c>
      <c r="G8" s="412">
        <f>IF(ISERROR(('A4-FinPerf RE'!G29-'A7-CFlow'!G33)/('A4-FinPerf RE'!G22-'A4-FinPerf RE'!G19)),0,(('A4-FinPerf RE'!G29-'A7-CFlow'!G33)/('A4-FinPerf RE'!G22-'A4-FinPerf RE'!G19)))</f>
        <v>1.86154949757385E-2</v>
      </c>
      <c r="H8" s="413">
        <f>IF(ISERROR(('A4-FinPerf RE'!H29-'A7-CFlow'!H33)/('A4-FinPerf RE'!H22-'A4-FinPerf RE'!H19)),0,(('A4-FinPerf RE'!H29-'A7-CFlow'!H33)/('A4-FinPerf RE'!H22-'A4-FinPerf RE'!H19)))</f>
        <v>1.86154949757385E-2</v>
      </c>
      <c r="I8" s="415">
        <f>IF(ISERROR(('A4-FinPerf RE'!I29-'A7-CFlow'!I33)/('A4-FinPerf RE'!I22-'A4-FinPerf RE'!I19)),0,(('A4-FinPerf RE'!I29-'A7-CFlow'!I33)/('A4-FinPerf RE'!I22-'A4-FinPerf RE'!I19)))</f>
        <v>1.86154949757385E-2</v>
      </c>
      <c r="J8" s="411">
        <f>IF(ISERROR(('A4-FinPerf RE'!J29-'A7-CFlow'!J33)/('A4-FinPerf RE'!J22-'A4-FinPerf RE'!J19)),0,(('A4-FinPerf RE'!J29-'A7-CFlow'!J33)/('A4-FinPerf RE'!J22-'A4-FinPerf RE'!J19)))</f>
        <v>1.7572626841186101E-2</v>
      </c>
      <c r="K8" s="412">
        <f>IF(ISERROR(('A4-FinPerf RE'!K29-'A7-CFlow'!K33)/('A4-FinPerf RE'!K22-'A4-FinPerf RE'!K19)),0,(('A4-FinPerf RE'!K29-'A7-CFlow'!K33)/('A4-FinPerf RE'!K22-'A4-FinPerf RE'!K19)))</f>
        <v>1.6797794477461547E-2</v>
      </c>
      <c r="L8" s="413">
        <f>IF(ISERROR(('A4-FinPerf RE'!L29-'A7-CFlow'!L33)/('A4-FinPerf RE'!L22-'A4-FinPerf RE'!L19)),0,(('A4-FinPerf RE'!L29-'A7-CFlow'!L33)/('A4-FinPerf RE'!L22-'A4-FinPerf RE'!L19)))</f>
        <v>1.6495072967473799E-2</v>
      </c>
    </row>
    <row r="9" spans="1:12" ht="25.5" x14ac:dyDescent="0.25">
      <c r="A9" s="416" t="s">
        <v>913</v>
      </c>
      <c r="B9" s="410" t="s">
        <v>373</v>
      </c>
      <c r="C9" s="411">
        <f>IF(ISERROR(C45/C44),0,(C45/C44))</f>
        <v>0</v>
      </c>
      <c r="D9" s="412">
        <f>IF(ISERROR(D45/D44),0,(D45/D44))</f>
        <v>6.7105498040671646E-2</v>
      </c>
      <c r="E9" s="413">
        <f t="shared" ref="E9:L9" si="0">IF(ISERROR(E45/E44),0,(E45/E44))</f>
        <v>0</v>
      </c>
      <c r="F9" s="414">
        <f t="shared" si="0"/>
        <v>0</v>
      </c>
      <c r="G9" s="412">
        <f t="shared" si="0"/>
        <v>0</v>
      </c>
      <c r="H9" s="413">
        <f t="shared" si="0"/>
        <v>0</v>
      </c>
      <c r="I9" s="415">
        <f t="shared" si="0"/>
        <v>0</v>
      </c>
      <c r="J9" s="411">
        <f t="shared" si="0"/>
        <v>0</v>
      </c>
      <c r="K9" s="412">
        <f t="shared" si="0"/>
        <v>0</v>
      </c>
      <c r="L9" s="413">
        <f t="shared" si="0"/>
        <v>0</v>
      </c>
    </row>
    <row r="10" spans="1:12" x14ac:dyDescent="0.25">
      <c r="A10" s="420" t="s">
        <v>348</v>
      </c>
      <c r="B10" s="410"/>
      <c r="C10" s="421"/>
      <c r="D10" s="422"/>
      <c r="E10" s="423"/>
      <c r="F10" s="424"/>
      <c r="G10" s="422"/>
      <c r="H10" s="423"/>
      <c r="I10" s="425"/>
      <c r="J10" s="421"/>
      <c r="K10" s="422"/>
      <c r="L10" s="423"/>
    </row>
    <row r="11" spans="1:12" ht="25.5" x14ac:dyDescent="0.25">
      <c r="A11" s="416" t="s">
        <v>347</v>
      </c>
      <c r="B11" s="410" t="s">
        <v>295</v>
      </c>
      <c r="C11" s="411">
        <f>IF(ISERROR(('A6-FinPos'!C37/'A6-FinPos'!C46)),0,(('A6-FinPos'!C37/'A6-FinPos'!C46)))</f>
        <v>0.916472888383002</v>
      </c>
      <c r="D11" s="412">
        <f>IF(ISERROR(('A6-FinPos'!D37/'A6-FinPos'!D46)),0,(('A6-FinPos'!D37/'A6-FinPos'!D46)))</f>
        <v>0.87058748006914088</v>
      </c>
      <c r="E11" s="413">
        <f>IF(ISERROR(('A6-FinPos'!E37/'A6-FinPos'!E46)),0,(('A6-FinPos'!E37/'A6-FinPos'!E46)))</f>
        <v>0.65282307816484109</v>
      </c>
      <c r="F11" s="414">
        <f>IF(ISERROR(('A6-FinPos'!F37/'A6-FinPos'!F46)),0,(('A6-FinPos'!F37/'A6-FinPos'!F46)))</f>
        <v>1.007719298245614</v>
      </c>
      <c r="G11" s="412">
        <f>IF(ISERROR(('A6-FinPos'!G37/'A6-FinPos'!G46)),0,(('A6-FinPos'!G37/'A6-FinPos'!G46)))</f>
        <v>0.44997536078513189</v>
      </c>
      <c r="H11" s="413">
        <f>IF(ISERROR(('A6-FinPos'!H37/'A6-FinPos'!H46)),0,(('A6-FinPos'!H37/'A6-FinPos'!H46)))</f>
        <v>0.44997536078513189</v>
      </c>
      <c r="I11" s="415">
        <f>IF(ISERROR(('A6-FinPos'!I37/'A6-FinPos'!I46)),0,(('A6-FinPos'!I37/'A6-FinPos'!I46)))</f>
        <v>0.44997536078513189</v>
      </c>
      <c r="J11" s="411">
        <f>IF(ISERROR(('A6-FinPos'!J37/'A6-FinPos'!J46)),0,(('A6-FinPos'!J37/'A6-FinPos'!J46)))</f>
        <v>0.23019369868600295</v>
      </c>
      <c r="K11" s="412">
        <f>IF(ISERROR(('A6-FinPos'!K37/'A6-FinPos'!K46)),0,(('A6-FinPos'!K37/'A6-FinPos'!K46)))</f>
        <v>5.4875377140472782E-2</v>
      </c>
      <c r="L11" s="413">
        <f>IF(ISERROR(('A6-FinPos'!L37/'A6-FinPos'!L46)),0,(('A6-FinPos'!L37/'A6-FinPos'!L46)))</f>
        <v>2.8320936630016228E-2</v>
      </c>
    </row>
    <row r="12" spans="1:12" x14ac:dyDescent="0.25">
      <c r="A12" s="420" t="s">
        <v>349</v>
      </c>
      <c r="B12" s="410"/>
      <c r="C12" s="421"/>
      <c r="D12" s="422"/>
      <c r="E12" s="423"/>
      <c r="F12" s="424"/>
      <c r="G12" s="422"/>
      <c r="H12" s="423"/>
      <c r="I12" s="425"/>
      <c r="J12" s="421"/>
      <c r="K12" s="422"/>
      <c r="L12" s="423"/>
    </row>
    <row r="13" spans="1:12" x14ac:dyDescent="0.25">
      <c r="A13" s="416" t="s">
        <v>592</v>
      </c>
      <c r="B13" s="410" t="s">
        <v>1457</v>
      </c>
      <c r="C13" s="426">
        <f>IF(ISERROR('A6-FinPos'!C12/'A6-FinPos'!C34),0,('A6-FinPos'!C12/'A6-FinPos'!C34))</f>
        <v>1.7467386090875061</v>
      </c>
      <c r="D13" s="427">
        <f>IF(ISERROR('A6-FinPos'!D12/'A6-FinPos'!D34),0,('A6-FinPos'!D12/'A6-FinPos'!D34))</f>
        <v>0.87455775006749747</v>
      </c>
      <c r="E13" s="428">
        <f>IF(ISERROR('A6-FinPos'!E12/'A6-FinPos'!E34),0,('A6-FinPos'!E12/'A6-FinPos'!E34))</f>
        <v>0.48785942708437391</v>
      </c>
      <c r="F13" s="429">
        <f>IF(ISERROR('A6-FinPos'!F12/'A6-FinPos'!F34),0,('A6-FinPos'!F12/'A6-FinPos'!F34))</f>
        <v>2.6744874571570154</v>
      </c>
      <c r="G13" s="427">
        <f>IF(ISERROR('A6-FinPos'!G12/'A6-FinPos'!G34),0,('A6-FinPos'!G12/'A6-FinPos'!G34))</f>
        <v>7.0278355026326775E-2</v>
      </c>
      <c r="H13" s="428">
        <f>IF(ISERROR('A6-FinPos'!H12/'A6-FinPos'!H34),0,('A6-FinPos'!H12/'A6-FinPos'!H34))</f>
        <v>7.0278355026326775E-2</v>
      </c>
      <c r="I13" s="430">
        <f>IF(ISERROR('A6-FinPos'!I12/'A6-FinPos'!I34),0,('A6-FinPos'!I12/'A6-FinPos'!I34))</f>
        <v>7.0278355026326775E-2</v>
      </c>
      <c r="J13" s="426">
        <f>IF(ISERROR('A6-FinPos'!J12/'A6-FinPos'!J34),0,('A6-FinPos'!J12/'A6-FinPos'!J34))</f>
        <v>5.0621296059115438E-2</v>
      </c>
      <c r="K13" s="427">
        <f>IF(ISERROR('A6-FinPos'!K12/'A6-FinPos'!K34),0,('A6-FinPos'!K12/'A6-FinPos'!K34))</f>
        <v>4.3495818602514259E-2</v>
      </c>
      <c r="L13" s="428">
        <f>IF(ISERROR('A6-FinPos'!L12/'A6-FinPos'!L34),0,('A6-FinPos'!L12/'A6-FinPos'!L34))</f>
        <v>4.4745548250253807E-2</v>
      </c>
    </row>
    <row r="14" spans="1:12" ht="25.5" x14ac:dyDescent="0.25">
      <c r="A14" s="416" t="s">
        <v>1454</v>
      </c>
      <c r="B14" s="410" t="s">
        <v>1401</v>
      </c>
      <c r="C14" s="426">
        <f>IF(ISERROR(('A6-FinPos'!C12-'SA8'!C41)/'A6-FinPos'!C34),0,(('A6-FinPos'!C12-'SA8'!C41)/'A6-FinPos'!C34))</f>
        <v>1.7467386090875061</v>
      </c>
      <c r="D14" s="427">
        <f>IF(ISERROR(('A6-FinPos'!D12-'SA8'!D41)/'A6-FinPos'!D34),0,(('A6-FinPos'!D12-'SA8'!D41)/'A6-FinPos'!D34))</f>
        <v>0.87455775006749747</v>
      </c>
      <c r="E14" s="428">
        <f>IF(ISERROR(('A6-FinPos'!E12-'SA8'!E41)/'A6-FinPos'!E34),0,(('A6-FinPos'!E12-'SA8'!E41)/'A6-FinPos'!E34))</f>
        <v>0.48785942708437391</v>
      </c>
      <c r="F14" s="429">
        <f>IF(ISERROR(('A6-FinPos'!F12-'SA8'!F41)/'A6-FinPos'!F34),0,(('A6-FinPos'!F12-'SA8'!F41)/'A6-FinPos'!F34))</f>
        <v>2.6744874571570154</v>
      </c>
      <c r="G14" s="427">
        <f>IF(ISERROR(('A6-FinPos'!G12-'SA8'!G41)/'A6-FinPos'!G34),0,(('A6-FinPos'!G12-'SA8'!G41)/'A6-FinPos'!G34))</f>
        <v>7.0278355026326775E-2</v>
      </c>
      <c r="H14" s="428">
        <f>IF(ISERROR(('A6-FinPos'!H12-'SA8'!H41)/'A6-FinPos'!H34),0,(('A6-FinPos'!H12-'SA8'!H41)/'A6-FinPos'!H34))</f>
        <v>7.0278355026326775E-2</v>
      </c>
      <c r="I14" s="430">
        <f>IF(ISERROR(('A6-FinPos'!I12-'SA8'!I41)/'A6-FinPos'!I34),0,(('A6-FinPos'!I12-'SA8'!I41)/'A6-FinPos'!I34))</f>
        <v>7.0278355026326775E-2</v>
      </c>
      <c r="J14" s="426">
        <f>IF(ISERROR(('A6-FinPos'!J12-'SA8'!J41)/'A6-FinPos'!J34),0,(('A6-FinPos'!J12-'SA8'!J41)/'A6-FinPos'!J34))</f>
        <v>5.0621296059115438E-2</v>
      </c>
      <c r="K14" s="427">
        <f>IF(ISERROR(('A6-FinPos'!K12-'SA8'!K41)/'A6-FinPos'!K34),0,(('A6-FinPos'!K12-'SA8'!K41)/'A6-FinPos'!K34))</f>
        <v>4.3495818602514259E-2</v>
      </c>
      <c r="L14" s="428">
        <f>IF(ISERROR(('A6-FinPos'!L12-'SA8'!L41)/'A6-FinPos'!L34),0,(('A6-FinPos'!L12-'SA8'!L41)/'A6-FinPos'!L34))</f>
        <v>4.4745548250253807E-2</v>
      </c>
    </row>
    <row r="15" spans="1:12" x14ac:dyDescent="0.25">
      <c r="A15" s="416" t="s">
        <v>350</v>
      </c>
      <c r="B15" s="410" t="s">
        <v>899</v>
      </c>
      <c r="C15" s="426">
        <f>IF(ISERROR(('A6-FinPos'!C6+'A6-FinPos'!C7)/'A6-FinPos'!C34),0,(('A6-FinPos'!C6+'A6-FinPos'!C7)/'A6-FinPos'!C34))</f>
        <v>7.6855146466503016E-2</v>
      </c>
      <c r="D15" s="427">
        <f>IF(ISERROR(('A6-FinPos'!D6+'A6-FinPos'!D7)/'A6-FinPos'!D34),0,(('A6-FinPos'!D6+'A6-FinPos'!D7)/'A6-FinPos'!D34))</f>
        <v>0.38852122947732642</v>
      </c>
      <c r="E15" s="428">
        <f>IF(ISERROR(('A6-FinPos'!E6+'A6-FinPos'!E7)/'A6-FinPos'!E34),0,(('A6-FinPos'!E6+'A6-FinPos'!E7)/'A6-FinPos'!E34))</f>
        <v>0.32840090037022718</v>
      </c>
      <c r="F15" s="429">
        <f>IF(ISERROR(('A6-FinPos'!F6+'A6-FinPos'!F7)/'A6-FinPos'!F34),0,(('A6-FinPos'!F6+'A6-FinPos'!F7)/'A6-FinPos'!F34))</f>
        <v>1.1073516648391719</v>
      </c>
      <c r="G15" s="427">
        <f>IF(ISERROR(('A6-FinPos'!G6+'A6-FinPos'!G7)/'A6-FinPos'!G34),0,(('A6-FinPos'!G6+'A6-FinPos'!G7)/'A6-FinPos'!G34))</f>
        <v>0</v>
      </c>
      <c r="H15" s="428">
        <f>IF(ISERROR(('A6-FinPos'!H6+'A6-FinPos'!H7)/'A6-FinPos'!H34),0,(('A6-FinPos'!H6+'A6-FinPos'!H7)/'A6-FinPos'!H34))</f>
        <v>-8.4454510332037371E-16</v>
      </c>
      <c r="I15" s="430">
        <f>IF(ISERROR(('A6-FinPos'!I6+'A6-FinPos'!I7)/'A6-FinPos'!I34),0,(('A6-FinPos'!I6+'A6-FinPos'!I7)/'A6-FinPos'!I34))</f>
        <v>-8.4454510332037371E-16</v>
      </c>
      <c r="J15" s="426">
        <f>IF(ISERROR(('A6-FinPos'!J6+'A6-FinPos'!J7)/'A6-FinPos'!J34),0,(('A6-FinPos'!J6+'A6-FinPos'!J7)/'A6-FinPos'!J34))</f>
        <v>0</v>
      </c>
      <c r="K15" s="427">
        <f>IF(ISERROR(('A6-FinPos'!K6+'A6-FinPos'!K7)/'A6-FinPos'!K34),0,(('A6-FinPos'!K6+'A6-FinPos'!K7)/'A6-FinPos'!K34))</f>
        <v>0</v>
      </c>
      <c r="L15" s="428">
        <f>IF(ISERROR(('A6-FinPos'!L6+'A6-FinPos'!L7)/'A6-FinPos'!L34),0,(('A6-FinPos'!L6+'A6-FinPos'!L7)/'A6-FinPos'!L34))</f>
        <v>-1.0151596794706087E-10</v>
      </c>
    </row>
    <row r="16" spans="1:12" x14ac:dyDescent="0.25">
      <c r="A16" s="420" t="s">
        <v>900</v>
      </c>
      <c r="B16" s="410"/>
      <c r="C16" s="431"/>
      <c r="D16" s="432"/>
      <c r="E16" s="433"/>
      <c r="F16" s="434"/>
      <c r="G16" s="432"/>
      <c r="H16" s="433"/>
      <c r="I16" s="435"/>
      <c r="J16" s="431"/>
      <c r="K16" s="432"/>
      <c r="L16" s="433"/>
    </row>
    <row r="17" spans="1:13" ht="25.5" x14ac:dyDescent="0.25">
      <c r="A17" s="416" t="s">
        <v>901</v>
      </c>
      <c r="B17" s="410" t="s">
        <v>1402</v>
      </c>
      <c r="C17" s="436"/>
      <c r="D17" s="437">
        <f>IF(ISERROR(('A7-CFlow'!C6+'A7-CFlow'!C20+'A7-CFlow'!C21)/(SUM('A4-FinPerf RE'!C5:C12)+'A4-FinPerf RE'!C14+SUM('A4-FinPerf RE'!C16:C18)+'A4-FinPerf RE'!C20)),0,(('A7-CFlow'!C6+'A7-CFlow'!C20+'A7-CFlow'!C21)/(SUM('A4-FinPerf RE'!C5:C12)+'A4-FinPerf RE'!C14+SUM('A4-FinPerf RE'!C16:C18)+'A4-FinPerf RE'!C20)))</f>
        <v>1.7040737139011821</v>
      </c>
      <c r="E17" s="437">
        <f>IF(ISERROR(('A7-CFlow'!D6+'A7-CFlow'!D20+'A7-CFlow'!D21)/(SUM('A4-FinPerf RE'!D5:D12)+'A4-FinPerf RE'!D14+SUM('A4-FinPerf RE'!D16:D18)+'A4-FinPerf RE'!D20)),0,(('A7-CFlow'!D6+'A7-CFlow'!D20+'A7-CFlow'!D21)/(SUM('A4-FinPerf RE'!D5:D12)+'A4-FinPerf RE'!D14+SUM('A4-FinPerf RE'!D16:D18)+'A4-FinPerf RE'!D20)))</f>
        <v>0.72482044083616637</v>
      </c>
      <c r="F17" s="439">
        <f>IF(ISERROR(('A7-CFlow'!E6+'A7-CFlow'!E20+'A7-CFlow'!E21)/(SUM('A4-FinPerf RE'!E5:E12)+'A4-FinPerf RE'!E14+SUM('A4-FinPerf RE'!E16:E18)+'A4-FinPerf RE'!E20)),0,(('A7-CFlow'!E6+'A7-CFlow'!E20+'A7-CFlow'!E21)/(SUM('A4-FinPerf RE'!E5:E12)+'A4-FinPerf RE'!E14+SUM('A4-FinPerf RE'!E16:E18)+'A4-FinPerf RE'!E20)))</f>
        <v>0.96121470779474105</v>
      </c>
      <c r="G17" s="437">
        <f>IF(ISERROR(('A7-CFlow'!F6+'A7-CFlow'!F20+'A7-CFlow'!F21)/(SUM('A4-FinPerf RE'!F5:F12)+'A4-FinPerf RE'!F14+SUM('A4-FinPerf RE'!F16:F18)+'A4-FinPerf RE'!F20)),0,(('A7-CFlow'!F6+'A7-CFlow'!F20+'A7-CFlow'!F21)/(SUM('A4-FinPerf RE'!F5:F12)+'A4-FinPerf RE'!F14+SUM('A4-FinPerf RE'!F16:F18)+'A4-FinPerf RE'!F20)))</f>
        <v>0.57594329189197402</v>
      </c>
      <c r="H17" s="438">
        <f>IF(ISERROR(('A7-CFlow'!G6+'A7-CFlow'!G20+'A7-CFlow'!G21)/(SUM('A4-FinPerf RE'!G5:G12)+'A4-FinPerf RE'!G14+SUM('A4-FinPerf RE'!G16:G18)+'A4-FinPerf RE'!G20)),0,(('A7-CFlow'!G6+'A7-CFlow'!G20+'A7-CFlow'!G21)/(SUM('A4-FinPerf RE'!G5:G12)+'A4-FinPerf RE'!G14+SUM('A4-FinPerf RE'!G16:G18)+'A4-FinPerf RE'!G20)))</f>
        <v>0.78747057389211195</v>
      </c>
      <c r="I17" s="440">
        <f>IF(ISERROR(('A7-CFlow'!H6+'A7-CFlow'!H20+'A7-CFlow'!H21)/(SUM('A4-FinPerf RE'!H5:H12)+'A4-FinPerf RE'!H14+SUM('A4-FinPerf RE'!H16:H18)+'A4-FinPerf RE'!H20)),0,(('A7-CFlow'!H6+'A7-CFlow'!H20+'A7-CFlow'!H21)/(SUM('A4-FinPerf RE'!H5:H12)+'A4-FinPerf RE'!H14+SUM('A4-FinPerf RE'!H16:H18)+'A4-FinPerf RE'!H20)))</f>
        <v>0.78747057389211195</v>
      </c>
      <c r="J17" s="436">
        <f>IF(ISERROR(('A7-CFlow'!I6+'A7-CFlow'!I20+'A7-CFlow'!I21)/(SUM('A4-FinPerf RE'!I5:I12)+'A4-FinPerf RE'!I14+SUM('A4-FinPerf RE'!I16:I18)+'A4-FinPerf RE'!I20)),0,(('A7-CFlow'!I6+'A7-CFlow'!I20+'A7-CFlow'!I21)/(SUM('A4-FinPerf RE'!I5:I12)+'A4-FinPerf RE'!I14+SUM('A4-FinPerf RE'!I16:I18)+'A4-FinPerf RE'!I20)))</f>
        <v>0.78747057389211195</v>
      </c>
      <c r="K17" s="437">
        <f>IF(ISERROR(('A7-CFlow'!J6+'A7-CFlow'!J20+'A7-CFlow'!J21)/(SUM('A4-FinPerf RE'!J5:J12)+'A4-FinPerf RE'!J14+SUM('A4-FinPerf RE'!J16:J18)+'A4-FinPerf RE'!J20)),0,(('A7-CFlow'!J6+'A7-CFlow'!J20+'A7-CFlow'!J21)/(SUM('A4-FinPerf RE'!J5:J12)+'A4-FinPerf RE'!J14+SUM('A4-FinPerf RE'!J16:J18)+'A4-FinPerf RE'!J20)))</f>
        <v>0.89966902977074503</v>
      </c>
      <c r="L17" s="438">
        <f>IF(ISERROR(('A7-CFlow'!K6+'A7-CFlow'!K20+'A7-CFlow'!K21)/(SUM('A4-FinPerf RE'!K5:K12)+'A4-FinPerf RE'!K14+SUM('A4-FinPerf RE'!K16:K18)+'A4-FinPerf RE'!K20)),0,(('A7-CFlow'!K6+'A7-CFlow'!K20+'A7-CFlow'!K21)/(SUM('A4-FinPerf RE'!K5:K12)+'A4-FinPerf RE'!K14+SUM('A4-FinPerf RE'!K16:K18)+'A4-FinPerf RE'!K20)))</f>
        <v>0.89746010081268601</v>
      </c>
    </row>
    <row r="18" spans="1:13" ht="25.5" customHeight="1" x14ac:dyDescent="0.25">
      <c r="A18" s="416" t="s">
        <v>2260</v>
      </c>
      <c r="B18" s="410"/>
      <c r="C18" s="436"/>
      <c r="D18" s="437">
        <f>IF(ISERROR(('A7-CFlow'!C6)/(SUM('A4-FinPerf RE'!C5:C12)+'A4-FinPerf RE'!C14+SUM('A4-FinPerf RE'!C16:C18)+'A4-FinPerf RE'!C20)),0,(('A7-CFlow'!C6)/(SUM('A4-FinPerf RE'!C5:C12)+'A4-FinPerf RE'!C14+SUM('A4-FinPerf RE'!C16:C18)+'A4-FinPerf RE'!C20)))</f>
        <v>1.7106700613500503</v>
      </c>
      <c r="E18" s="440">
        <f>IF(ISERROR(('A7-CFlow'!D6)/(SUM('A4-FinPerf RE'!D5:D12)+'A4-FinPerf RE'!D14+SUM('A4-FinPerf RE'!D16:D18)+'A4-FinPerf RE'!D20)),0,(('A7-CFlow'!D6)/(SUM('A4-FinPerf RE'!D5:D12)+'A4-FinPerf RE'!D14+SUM('A4-FinPerf RE'!D16:D18)+'A4-FinPerf RE'!D20)))</f>
        <v>0.72548356396748914</v>
      </c>
      <c r="F18" s="439">
        <f>IF(ISERROR(('A7-CFlow'!E6)/(SUM('A4-FinPerf RE'!E5:E12)+'A4-FinPerf RE'!E14+SUM('A4-FinPerf RE'!E16:E18)+'A4-FinPerf RE'!E20)),0,(('A7-CFlow'!E6)/(SUM('A4-FinPerf RE'!E5:E12)+'A4-FinPerf RE'!E14+SUM('A4-FinPerf RE'!E16:E18)+'A4-FinPerf RE'!E20)))</f>
        <v>0.96548912717845858</v>
      </c>
      <c r="G18" s="437">
        <f>IF(ISERROR(('A7-CFlow'!F6)/(SUM('A4-FinPerf RE'!F5:F12)+'A4-FinPerf RE'!F14+SUM('A4-FinPerf RE'!F16:F18)+'A4-FinPerf RE'!F20)),0,(('A7-CFlow'!F6)/(SUM('A4-FinPerf RE'!F5:F12)+'A4-FinPerf RE'!F14+SUM('A4-FinPerf RE'!F16:F18)+'A4-FinPerf RE'!F20)))</f>
        <v>0.5834104800771811</v>
      </c>
      <c r="H18" s="438">
        <f>IF(ISERROR(('A7-CFlow'!G6)/(SUM('A4-FinPerf RE'!G5:G12)+'A4-FinPerf RE'!G14+SUM('A4-FinPerf RE'!G16:G18)+'A4-FinPerf RE'!G20)),0,(('A7-CFlow'!G6)/(SUM('A4-FinPerf RE'!G5:G12)+'A4-FinPerf RE'!G14+SUM('A4-FinPerf RE'!G16:G18)+'A4-FinPerf RE'!G20)))</f>
        <v>0.78747057389211195</v>
      </c>
      <c r="I18" s="440">
        <f>IF(ISERROR(('A7-CFlow'!H6)/(SUM('A4-FinPerf RE'!H5:H12)+'A4-FinPerf RE'!H14+SUM('A4-FinPerf RE'!H16:H18)+'A4-FinPerf RE'!H20)),0,(('A7-CFlow'!H6)/(SUM('A4-FinPerf RE'!H5:H12)+'A4-FinPerf RE'!H14+SUM('A4-FinPerf RE'!H16:H18)+'A4-FinPerf RE'!H20)))</f>
        <v>0.78747057389211195</v>
      </c>
      <c r="J18" s="436">
        <f>IF(ISERROR(('A7-CFlow'!I6)/(SUM('A4-FinPerf RE'!I5:I12)+'A4-FinPerf RE'!I14+SUM('A4-FinPerf RE'!I16:I18)+'A4-FinPerf RE'!I20)),0,(('A7-CFlow'!I6)/(SUM('A4-FinPerf RE'!I5:I12)+'A4-FinPerf RE'!I14+SUM('A4-FinPerf RE'!I16:I18)+'A4-FinPerf RE'!I20)))</f>
        <v>0.78747057389211195</v>
      </c>
      <c r="K18" s="437">
        <f>IF(ISERROR(('A7-CFlow'!J6)/(SUM('A4-FinPerf RE'!J5:J12)+'A4-FinPerf RE'!J14+SUM('A4-FinPerf RE'!J16:J18)+'A4-FinPerf RE'!J20)),0,(('A7-CFlow'!J6)/(SUM('A4-FinPerf RE'!J5:J12)+'A4-FinPerf RE'!J14+SUM('A4-FinPerf RE'!J16:J18)+'A4-FinPerf RE'!J20)))</f>
        <v>0.89966902977074503</v>
      </c>
      <c r="L18" s="438">
        <f>IF(ISERROR(('A7-CFlow'!K6)/(SUM('A4-FinPerf RE'!K5:K12)+'A4-FinPerf RE'!K14+SUM('A4-FinPerf RE'!K16:K18)+'A4-FinPerf RE'!K20)),0,(('A7-CFlow'!K6)/(SUM('A4-FinPerf RE'!K5:K12)+'A4-FinPerf RE'!K14+SUM('A4-FinPerf RE'!K16:K18)+'A4-FinPerf RE'!K20)))</f>
        <v>0.89746010081268601</v>
      </c>
    </row>
    <row r="19" spans="1:13" ht="25.5" x14ac:dyDescent="0.25">
      <c r="A19" s="416" t="s">
        <v>492</v>
      </c>
      <c r="B19" s="410" t="s">
        <v>1365</v>
      </c>
      <c r="C19" s="411">
        <f>IF(ISERROR(('A6-FinPos'!C8+'A6-FinPos'!C9+'A6-FinPos'!C10+'A6-FinPos'!C15)/'A4-FinPerf RE'!C22),0,(('A6-FinPos'!C8+'A6-FinPos'!C9+'A6-FinPos'!C10+'A6-FinPos'!C15)/'A4-FinPerf RE'!C22))</f>
        <v>0.20934037346447168</v>
      </c>
      <c r="D19" s="412">
        <f>IF(ISERROR(('A6-FinPos'!D8+'A6-FinPos'!D9+'A6-FinPos'!D10+'A6-FinPos'!D15)/'A4-FinPerf RE'!D22),0,(('A6-FinPos'!D8+'A6-FinPos'!D9+'A6-FinPos'!D10+'A6-FinPos'!D15)/'A4-FinPerf RE'!D22))</f>
        <v>0.11345562716509941</v>
      </c>
      <c r="E19" s="413">
        <f>IF(ISERROR(('A6-FinPos'!E8+'A6-FinPos'!E9+'A6-FinPos'!E10+'A6-FinPos'!E15)/'A4-FinPerf RE'!E22),0,(('A6-FinPos'!E8+'A6-FinPos'!E9+'A6-FinPos'!E10+'A6-FinPos'!E15)/'A4-FinPerf RE'!E22))</f>
        <v>4.3330482606889563E-2</v>
      </c>
      <c r="F19" s="414">
        <f>IF(ISERROR(('A6-FinPos'!F8+'A6-FinPos'!F9+'A6-FinPos'!F10+'A6-FinPos'!F15)/'A4-FinPerf RE'!F22),0,(('A6-FinPos'!F8+'A6-FinPos'!F9+'A6-FinPos'!F10+'A6-FinPos'!F15)/'A4-FinPerf RE'!F22))</f>
        <v>0.26333960542616969</v>
      </c>
      <c r="G19" s="412">
        <f>IF(ISERROR(('A6-FinPos'!G8+'A6-FinPos'!G9+'A6-FinPos'!G10+'A6-FinPos'!G15)/'A4-FinPerf RE'!G22),0,(('A6-FinPos'!G8+'A6-FinPos'!G9+'A6-FinPos'!G10+'A6-FinPos'!G15)/'A4-FinPerf RE'!G22))</f>
        <v>3.3754291362272926E-2</v>
      </c>
      <c r="H19" s="413">
        <f>IF(ISERROR(('A6-FinPos'!H8+'A6-FinPos'!H9+'A6-FinPos'!H10+'A6-FinPos'!H15)/'A4-FinPerf RE'!H22),0,(('A6-FinPos'!H8+'A6-FinPos'!H9+'A6-FinPos'!H10+'A6-FinPos'!H15)/'A4-FinPerf RE'!H22))</f>
        <v>3.3754291362272926E-2</v>
      </c>
      <c r="I19" s="415">
        <f>IF(ISERROR(('A6-FinPos'!I8+'A6-FinPos'!I9+'A6-FinPos'!I10+'A6-FinPos'!I15)/'A4-FinPerf RE'!I22),0,(('A6-FinPos'!I8+'A6-FinPos'!I9+'A6-FinPos'!I10+'A6-FinPos'!I15)/'A4-FinPerf RE'!I22))</f>
        <v>3.3754291362272926E-2</v>
      </c>
      <c r="J19" s="411">
        <f>IF(ISERROR(('A6-FinPos'!J8+'A6-FinPos'!J9+'A6-FinPos'!J10+'A6-FinPos'!J15)/'A4-FinPerf RE'!J22),0,(('A6-FinPos'!J8+'A6-FinPos'!J9+'A6-FinPos'!J10+'A6-FinPos'!J15)/'A4-FinPerf RE'!J22))</f>
        <v>2.7767711050772352E-2</v>
      </c>
      <c r="K19" s="412">
        <f>IF(ISERROR(('A6-FinPos'!K8+'A6-FinPos'!K9+'A6-FinPos'!K10+'A6-FinPos'!K15)/'A4-FinPerf RE'!K22),0,(('A6-FinPos'!K8+'A6-FinPos'!K9+'A6-FinPos'!K10+'A6-FinPos'!K15)/'A4-FinPerf RE'!K22))</f>
        <v>2.7842914215025105E-2</v>
      </c>
      <c r="L19" s="413">
        <f>IF(ISERROR(('A6-FinPos'!L8+'A6-FinPos'!L9+'A6-FinPos'!L10+'A6-FinPos'!L15)/'A4-FinPerf RE'!L22),0,(('A6-FinPos'!L8+'A6-FinPos'!L9+'A6-FinPos'!L10+'A6-FinPos'!L15)/'A4-FinPerf RE'!L22))</f>
        <v>3.2237528073194063E-2</v>
      </c>
    </row>
    <row r="20" spans="1:13" ht="25.5" x14ac:dyDescent="0.25">
      <c r="A20" s="416" t="s">
        <v>1729</v>
      </c>
      <c r="B20" s="410" t="s">
        <v>565</v>
      </c>
      <c r="C20" s="1364"/>
      <c r="D20" s="1365"/>
      <c r="E20" s="1358"/>
      <c r="F20" s="1366"/>
      <c r="G20" s="1365"/>
      <c r="H20" s="1358"/>
      <c r="I20" s="1367"/>
      <c r="J20" s="1364"/>
      <c r="K20" s="1365"/>
      <c r="L20" s="1358"/>
    </row>
    <row r="21" spans="1:13" x14ac:dyDescent="0.25">
      <c r="A21" s="420" t="s">
        <v>791</v>
      </c>
      <c r="B21" s="410"/>
      <c r="C21" s="421"/>
      <c r="D21" s="422"/>
      <c r="E21" s="423"/>
      <c r="F21" s="424"/>
      <c r="G21" s="422"/>
      <c r="H21" s="423"/>
      <c r="I21" s="425"/>
      <c r="J21" s="421"/>
      <c r="K21" s="422"/>
      <c r="L21" s="423"/>
    </row>
    <row r="22" spans="1:13" ht="24.75" customHeight="1" x14ac:dyDescent="0.25">
      <c r="A22" s="416" t="s">
        <v>792</v>
      </c>
      <c r="B22" s="410" t="s">
        <v>339</v>
      </c>
      <c r="C22" s="1364"/>
      <c r="D22" s="1365"/>
      <c r="E22" s="1358"/>
      <c r="F22" s="1366"/>
      <c r="G22" s="1365"/>
      <c r="H22" s="1358"/>
      <c r="I22" s="1367"/>
      <c r="J22" s="1364"/>
      <c r="K22" s="1365"/>
      <c r="L22" s="1358"/>
    </row>
    <row r="23" spans="1:13" x14ac:dyDescent="0.25">
      <c r="A23" s="416" t="s">
        <v>2224</v>
      </c>
      <c r="B23" s="410"/>
      <c r="C23" s="436">
        <f>IF(ISERROR('SA3'!C35/'A7-CFlow'!C38), 0, ('SA3'!C35/'A7-CFlow'!C38))</f>
        <v>-1.3681258255113549</v>
      </c>
      <c r="D23" s="437">
        <f>IF(ISERROR('SA3'!D35/'A7-CFlow'!D38), 0, ('SA3'!D35/'A7-CFlow'!D38))</f>
        <v>1.354318107875776</v>
      </c>
      <c r="E23" s="438">
        <f>IF(ISERROR('SA3'!E35/'A7-CFlow'!E38), 0, ('SA3'!E35/'A7-CFlow'!E38))</f>
        <v>1.8650029472451493</v>
      </c>
      <c r="F23" s="439">
        <f>IF(ISERROR('SA3'!F35/'A7-CFlow'!F38), 0, ('SA3'!F35/'A7-CFlow'!F38))</f>
        <v>0.45095752554130436</v>
      </c>
      <c r="G23" s="437">
        <f>IF(ISERROR('SA3'!G35/'A7-CFlow'!G38), 0, ('SA3'!G35/'A7-CFlow'!G38))</f>
        <v>-0.46842002332934612</v>
      </c>
      <c r="H23" s="438">
        <f>IF(ISERROR('SA3'!H35/'A7-CFlow'!H38), 0, ('SA3'!H35/'A7-CFlow'!H38))</f>
        <v>-0.46842002332934612</v>
      </c>
      <c r="I23" s="440">
        <f>IF(ISERROR('SA3'!I35/'A7-CFlow'!I38), 0, ('SA3'!I35/'A7-CFlow'!I38))</f>
        <v>-0.46842002332934612</v>
      </c>
      <c r="J23" s="436">
        <f>IF(ISERROR('SA3'!J35/'A7-CFlow'!J38), 0, ('SA3'!J35/'A7-CFlow'!J38))</f>
        <v>-0.30052761678821793</v>
      </c>
      <c r="K23" s="437">
        <f>IF(ISERROR('SA3'!K35/'A7-CFlow'!K38), 0, ('SA3'!K35/'A7-CFlow'!K38))</f>
        <v>-0.2388932617234833</v>
      </c>
      <c r="L23" s="438">
        <f>IF(ISERROR('SA3'!L35/'A7-CFlow'!L38), 0, ('SA3'!L35/'A7-CFlow'!L38))</f>
        <v>-0.20426487361702753</v>
      </c>
      <c r="M23" s="338"/>
    </row>
    <row r="24" spans="1:13" ht="8.25" customHeight="1" x14ac:dyDescent="0.25">
      <c r="A24" s="416"/>
      <c r="B24" s="410"/>
      <c r="C24" s="1368"/>
      <c r="D24" s="1369"/>
      <c r="E24" s="1370"/>
      <c r="F24" s="1371"/>
      <c r="G24" s="1369"/>
      <c r="H24" s="1370"/>
      <c r="I24" s="1372"/>
      <c r="J24" s="1368"/>
      <c r="K24" s="1369"/>
      <c r="L24" s="1370"/>
      <c r="M24" s="338"/>
    </row>
    <row r="25" spans="1:13" x14ac:dyDescent="0.25">
      <c r="A25" s="420" t="s">
        <v>793</v>
      </c>
      <c r="B25" s="410"/>
      <c r="C25" s="421"/>
      <c r="D25" s="422"/>
      <c r="E25" s="423"/>
      <c r="F25" s="424"/>
      <c r="G25" s="422"/>
      <c r="H25" s="423"/>
      <c r="I25" s="425"/>
      <c r="J25" s="421"/>
      <c r="K25" s="422"/>
      <c r="L25" s="423"/>
      <c r="M25" s="338"/>
    </row>
    <row r="26" spans="1:13" ht="38.25" x14ac:dyDescent="0.25">
      <c r="A26" s="416" t="s">
        <v>342</v>
      </c>
      <c r="B26" s="1087" t="s">
        <v>374</v>
      </c>
      <c r="C26" s="1368"/>
      <c r="D26" s="1369"/>
      <c r="E26" s="1370"/>
      <c r="F26" s="1371"/>
      <c r="G26" s="1369"/>
      <c r="H26" s="1370"/>
      <c r="I26" s="1372"/>
      <c r="J26" s="1368"/>
      <c r="K26" s="1369"/>
      <c r="L26" s="1370"/>
    </row>
    <row r="27" spans="1:13" ht="38.25" x14ac:dyDescent="0.25">
      <c r="A27" s="416" t="s">
        <v>1293</v>
      </c>
      <c r="B27" s="1087" t="s">
        <v>375</v>
      </c>
      <c r="C27" s="1368"/>
      <c r="D27" s="1369"/>
      <c r="E27" s="1370"/>
      <c r="F27" s="1371"/>
      <c r="G27" s="1369"/>
      <c r="H27" s="1370"/>
      <c r="I27" s="1372"/>
      <c r="J27" s="1368"/>
      <c r="K27" s="1369"/>
      <c r="L27" s="1370"/>
    </row>
    <row r="28" spans="1:13" ht="25.5" x14ac:dyDescent="0.25">
      <c r="A28" s="416" t="s">
        <v>495</v>
      </c>
      <c r="B28" s="410" t="s">
        <v>1667</v>
      </c>
      <c r="C28" s="436">
        <f>IF(ISERROR('A4-FinPerf RE'!C25/'A4-FinPerf RE'!C22),0,('A4-FinPerf RE'!C25/'A4-FinPerf RE'!C22))</f>
        <v>0.18746016090793149</v>
      </c>
      <c r="D28" s="437">
        <f>IF(ISERROR('A4-FinPerf RE'!D25/'A4-FinPerf RE'!D22),0,('A4-FinPerf RE'!D25/'A4-FinPerf RE'!D22))</f>
        <v>0.26535689708691612</v>
      </c>
      <c r="E28" s="438">
        <f>IF(ISERROR('A4-FinPerf RE'!E25/'A4-FinPerf RE'!E22),0,('A4-FinPerf RE'!E25/'A4-FinPerf RE'!E22))</f>
        <v>0.29996688913529906</v>
      </c>
      <c r="F28" s="439">
        <f>IF(ISERROR('A4-FinPerf RE'!F25/'A4-FinPerf RE'!F22),0,('A4-FinPerf RE'!F25/'A4-FinPerf RE'!F22))</f>
        <v>0.43753063512900386</v>
      </c>
      <c r="G28" s="437">
        <f>IF(ISERROR('A4-FinPerf RE'!G25/'A4-FinPerf RE'!G22),0,('A4-FinPerf RE'!G25/'A4-FinPerf RE'!G22))</f>
        <v>0.42248863777926665</v>
      </c>
      <c r="H28" s="438">
        <f>IF(ISERROR('A4-FinPerf RE'!H25/'A4-FinPerf RE'!H22),0,('A4-FinPerf RE'!H25/'A4-FinPerf RE'!H22))</f>
        <v>0.42248863777926665</v>
      </c>
      <c r="I28" s="440">
        <f>IF(ISERROR('A4-FinPerf RE'!I25/'A4-FinPerf RE'!I22),0,('A4-FinPerf RE'!I25/'A4-FinPerf RE'!I22))</f>
        <v>0.42248863777926665</v>
      </c>
      <c r="J28" s="436">
        <f>IF(ISERROR('A4-FinPerf RE'!J25/'A4-FinPerf RE'!J22),0,('A4-FinPerf RE'!J25/'A4-FinPerf RE'!J22))</f>
        <v>0.40178031485145954</v>
      </c>
      <c r="K28" s="437">
        <f>IF(ISERROR('A4-FinPerf RE'!K25/'A4-FinPerf RE'!K22),0,('A4-FinPerf RE'!K25/'A4-FinPerf RE'!K22))</f>
        <v>0.39858660399115192</v>
      </c>
      <c r="L28" s="438">
        <f>IF(ISERROR('A4-FinPerf RE'!L25/'A4-FinPerf RE'!L22),0,('A4-FinPerf RE'!L25/'A4-FinPerf RE'!L22))</f>
        <v>0.39713670106213239</v>
      </c>
    </row>
    <row r="29" spans="1:13" ht="25.5" x14ac:dyDescent="0.25">
      <c r="A29" s="416" t="s">
        <v>726</v>
      </c>
      <c r="B29" s="410" t="s">
        <v>727</v>
      </c>
      <c r="C29" s="436">
        <f>IF(ISERROR('SA22'!C102/'A4-FinPerf RE'!C22),0,('SA22'!C102/'A4-FinPerf RE'!C22))</f>
        <v>0.21255660122729889</v>
      </c>
      <c r="D29" s="437">
        <f>IF(ISERROR('SA22'!D102/'A4-FinPerf RE'!D22),0,('SA22'!D102/'A4-FinPerf RE'!D22))</f>
        <v>0.29937028467366988</v>
      </c>
      <c r="E29" s="438">
        <f>IF(ISERROR('SA22'!E102/'A4-FinPerf RE'!E22),0,('SA22'!E102/'A4-FinPerf RE'!E22))</f>
        <v>0.33047655636409734</v>
      </c>
      <c r="F29" s="439">
        <f>IF(ISERROR('SA22'!F102/'A4-FinPerf RE'!F22),0,('SA22'!F102/'A4-FinPerf RE'!F22))</f>
        <v>0.47230182034308477</v>
      </c>
      <c r="G29" s="437">
        <f>IF(ISERROR('SA22'!G102/'A4-FinPerf RE'!G22),0,('SA22'!G102/'A4-FinPerf RE'!G22))</f>
        <v>0.45789612644926525</v>
      </c>
      <c r="H29" s="438">
        <f>IF(ISERROR('SA22'!H102/'A4-FinPerf RE'!H22),0,('SA22'!H102/'A4-FinPerf RE'!H22))</f>
        <v>0.45789612644926525</v>
      </c>
      <c r="I29" s="440"/>
      <c r="J29" s="436">
        <f>IF(ISERROR('SA22'!I102/'A4-FinPerf RE'!J22),0,('SA22'!I102/'A4-FinPerf RE'!J22))</f>
        <v>0.43029928768087428</v>
      </c>
      <c r="K29" s="437">
        <f>IF(ISERROR('SA22'!J102/'A4-FinPerf RE'!K22),0,('SA22'!J102/'A4-FinPerf RE'!K22))</f>
        <v>0.42687888240602373</v>
      </c>
      <c r="L29" s="438">
        <f>IF(ISERROR('SA22'!K102/'A4-FinPerf RE'!L22),0,('SA22'!K102/'A4-FinPerf RE'!L22))</f>
        <v>0.42532606317993954</v>
      </c>
    </row>
    <row r="30" spans="1:13" ht="25.5" x14ac:dyDescent="0.25">
      <c r="A30" s="416" t="s">
        <v>600</v>
      </c>
      <c r="B30" s="410" t="s">
        <v>601</v>
      </c>
      <c r="C30" s="437">
        <f>IF(ISERROR('A9-Asset'!C69/'A4-FinPerf RE'!C22),0,('A9-Asset'!C69/'A4-FinPerf RE'!C22))</f>
        <v>1.7971177294486308E-2</v>
      </c>
      <c r="D30" s="437">
        <f>IF(ISERROR('A9-Asset'!D69/'A4-FinPerf RE'!D22),0,('A9-Asset'!D69/'A4-FinPerf RE'!D22))</f>
        <v>3.1196038535513695E-2</v>
      </c>
      <c r="E30" s="438">
        <f>IF(ISERROR('A9-Asset'!E69/'A4-FinPerf RE'!E22),0,('A9-Asset'!E69/'A4-FinPerf RE'!E22))</f>
        <v>3.7505106698755349E-2</v>
      </c>
      <c r="F30" s="439">
        <f>IF(ISERROR('A9-Asset'!F69/'A4-FinPerf RE'!F22),0,('A9-Asset'!F69/'A4-FinPerf RE'!F22))</f>
        <v>0</v>
      </c>
      <c r="G30" s="437">
        <f>IF(ISERROR('A9-Asset'!G69/'A4-FinPerf RE'!G22),0,('A9-Asset'!G69/'A4-FinPerf RE'!G22))</f>
        <v>9.6256186728519863E-2</v>
      </c>
      <c r="H30" s="438">
        <f>IF(ISERROR('A9-Asset'!H69/'A4-FinPerf RE'!H22),0,('A9-Asset'!H69/'A4-FinPerf RE'!H22))</f>
        <v>9.6256186728519863E-2</v>
      </c>
      <c r="I30" s="440"/>
      <c r="J30" s="436">
        <f>IF(ISERROR('A9-Asset'!I69/'A4-FinPerf RE'!J22),0,('A9-Asset'!I69/'A4-FinPerf RE'!J22))</f>
        <v>7.0596452705943349E-2</v>
      </c>
      <c r="K30" s="437">
        <f>IF(ISERROR('A9-Asset'!J69/'A4-FinPerf RE'!K22),0,('A9-Asset'!J69/'A4-FinPerf RE'!K22))</f>
        <v>7.0035288683287039E-2</v>
      </c>
      <c r="L30" s="1654">
        <f>IF(ISERROR('A9-Asset'!K69/'A4-FinPerf RE'!L22),0,('A9-Asset'!K69/'A4-FinPerf RE'!L22))</f>
        <v>6.9780527561915093E-2</v>
      </c>
    </row>
    <row r="31" spans="1:13" ht="25.5" x14ac:dyDescent="0.25">
      <c r="A31" s="416" t="s">
        <v>1452</v>
      </c>
      <c r="B31" s="410" t="s">
        <v>602</v>
      </c>
      <c r="C31" s="436">
        <f>IF(ISERROR(('A4-FinPerf RE'!C29+'A4-FinPerf RE'!C28)/'A4-FinPerf RE'!C22),0,(('A4-FinPerf RE'!C29+'A4-FinPerf RE'!C28)/'A4-FinPerf RE'!C22))</f>
        <v>7.3350733430786866E-2</v>
      </c>
      <c r="D31" s="437">
        <f>IF(ISERROR(('A4-FinPerf RE'!D29+'A4-FinPerf RE'!D28)/'A4-FinPerf RE'!D22),0,(('A4-FinPerf RE'!D29+'A4-FinPerf RE'!D28)/'A4-FinPerf RE'!D22))</f>
        <v>0.12206828274342738</v>
      </c>
      <c r="E31" s="438">
        <f>IF(ISERROR(('A4-FinPerf RE'!E29+'A4-FinPerf RE'!E28)/'A4-FinPerf RE'!E22),0,(('A4-FinPerf RE'!E29+'A4-FinPerf RE'!E28)/'A4-FinPerf RE'!E22))</f>
        <v>0.10858021277140775</v>
      </c>
      <c r="F31" s="439">
        <f>IF(ISERROR(('A4-FinPerf RE'!F29+'A4-FinPerf RE'!F28)/'A4-FinPerf RE'!F22),0,(('A4-FinPerf RE'!F29+'A4-FinPerf RE'!F28)/'A4-FinPerf RE'!F22))</f>
        <v>0.10921033466785351</v>
      </c>
      <c r="G31" s="437">
        <f>IF(ISERROR(('A4-FinPerf RE'!G29+'A4-FinPerf RE'!G28)/'A4-FinPerf RE'!G22),0,(('A4-FinPerf RE'!G29+'A4-FinPerf RE'!G28)/'A4-FinPerf RE'!G22))</f>
        <v>0.10095144319150497</v>
      </c>
      <c r="H31" s="438">
        <f>IF(ISERROR(('A4-FinPerf RE'!H29+'A4-FinPerf RE'!H28)/'A4-FinPerf RE'!H22),0,(('A4-FinPerf RE'!H29+'A4-FinPerf RE'!H28)/'A4-FinPerf RE'!H22))</f>
        <v>0.10095144319150497</v>
      </c>
      <c r="I31" s="440">
        <f>IF(ISERROR(('A4-FinPerf RE'!I29+'A4-FinPerf RE'!I28)/'A4-FinPerf RE'!I22),0,(('A4-FinPerf RE'!I29+'A4-FinPerf RE'!I28)/'A4-FinPerf RE'!I22))</f>
        <v>0.10095144319150497</v>
      </c>
      <c r="J31" s="436">
        <f>IF(ISERROR(('A4-FinPerf RE'!J29+'A4-FinPerf RE'!J28)/'A4-FinPerf RE'!J22),0,(('A4-FinPerf RE'!J29+'A4-FinPerf RE'!J28)/'A4-FinPerf RE'!J22))</f>
        <v>8.9530959125840345E-2</v>
      </c>
      <c r="K31" s="437">
        <f>IF(ISERROR(('A4-FinPerf RE'!K29+'A4-FinPerf RE'!K28)/'A4-FinPerf RE'!K22),0,(('A4-FinPerf RE'!K29+'A4-FinPerf RE'!K28)/'A4-FinPerf RE'!K22))</f>
        <v>8.8818813410403694E-2</v>
      </c>
      <c r="L31" s="438">
        <f>IF(ISERROR(('A4-FinPerf RE'!L29+'A4-FinPerf RE'!L28)/'A4-FinPerf RE'!L22),0,(('A4-FinPerf RE'!L29+'A4-FinPerf RE'!L28)/'A4-FinPerf RE'!L22))</f>
        <v>8.8495280320378483E-2</v>
      </c>
    </row>
    <row r="32" spans="1:13" ht="25.5" x14ac:dyDescent="0.25">
      <c r="A32" s="441" t="s">
        <v>1650</v>
      </c>
      <c r="B32" s="442"/>
      <c r="C32" s="443"/>
      <c r="D32" s="444"/>
      <c r="E32" s="445"/>
      <c r="F32" s="446"/>
      <c r="G32" s="444"/>
      <c r="H32" s="445"/>
      <c r="I32" s="447"/>
      <c r="J32" s="443"/>
      <c r="K32" s="444"/>
      <c r="L32" s="445"/>
    </row>
    <row r="33" spans="1:13" ht="38.25" x14ac:dyDescent="0.25">
      <c r="A33" s="416" t="s">
        <v>1651</v>
      </c>
      <c r="B33" s="410" t="s">
        <v>1730</v>
      </c>
      <c r="C33" s="426">
        <f>IF(ISERROR(('A4-FinPerf RE'!C22-'A4-FinPerf RE'!C19)/('A7-CFlow'!D9-'A7-CFlow'!D33)),0,(('A4-FinPerf RE'!C22-'A4-FinPerf RE'!C19)/('A7-CFlow'!D9-'A7-CFlow'!D33)))</f>
        <v>14.62320294099421</v>
      </c>
      <c r="D33" s="427">
        <f>IF(ISERROR(('A4-FinPerf RE'!D22-'A4-FinPerf RE'!D19)/('A7-CFlow'!E9-'A7-CFlow'!E33)),0,(('A4-FinPerf RE'!D22-'A4-FinPerf RE'!D19)/('A7-CFlow'!E9-'A7-CFlow'!E33)))</f>
        <v>16.978046430443904</v>
      </c>
      <c r="E33" s="428">
        <f>IF(ISERROR(('A4-FinPerf RE'!E22-'A4-FinPerf RE'!E19)/('A7-CFlow'!F9-'A7-CFlow'!F33)),0,(('A4-FinPerf RE'!E22-'A4-FinPerf RE'!E19)/('A7-CFlow'!F9-'A7-CFlow'!F33)))</f>
        <v>19.232346974227191</v>
      </c>
      <c r="F33" s="429">
        <f>IF(ISERROR(('A4-FinPerf RE'!F22-'A4-FinPerf RE'!F19)/('A7-CFlow'!G9-'A7-CFlow'!G33)),0,(('A4-FinPerf RE'!F22-'A4-FinPerf RE'!F19)/('A7-CFlow'!G9-'A7-CFlow'!G33)))</f>
        <v>62.215603761865815</v>
      </c>
      <c r="G33" s="427">
        <f>F33</f>
        <v>62.215603761865815</v>
      </c>
      <c r="H33" s="428">
        <f>G33</f>
        <v>62.215603761865815</v>
      </c>
      <c r="I33" s="430">
        <f>IF(ISERROR(('A4-FinPerf RE'!I22-'A4-FinPerf RE'!I19)/('A7-CFlow'!J9-'A7-CFlow'!J33)),0,(('A4-FinPerf RE'!I22-'A4-FinPerf RE'!I19)/('A7-CFlow'!J9-'A7-CFlow'!J33)))</f>
        <v>16.253956010102275</v>
      </c>
      <c r="J33" s="426">
        <f>IF(ISERROR(('A4-FinPerf RE'!J22-'A4-FinPerf RE'!J19)/('A7-CFlow'!K9-'A7-CFlow'!K33)),0,(('A4-FinPerf RE'!J22-'A4-FinPerf RE'!J19)/('A7-CFlow'!K9-'A7-CFlow'!K33)))</f>
        <v>20.0123855819811</v>
      </c>
      <c r="K33" s="427">
        <f>IF(ISERROR(('A4-FinPerf RE'!K22-'A4-FinPerf RE'!K19)/('A7-CFlow'!L9-'A7-CFlow'!L33)),0,(('A4-FinPerf RE'!K22-'A4-FinPerf RE'!K19)/('A7-CFlow'!L9-'A7-CFlow'!L33)))</f>
        <v>20.141729127599945</v>
      </c>
      <c r="L33" s="428">
        <f>IF(ISERROR(('A4-FinPerf RE'!L22-'A4-FinPerf RE'!L19)/('A7-CFlow'!L9-'A7-CFlow'!L33)),0,(('A4-FinPerf RE'!L22-'A4-FinPerf RE'!L19)/('A7-CFlow'!L9-'A7-CFlow'!L33)))</f>
        <v>21.350232872994376</v>
      </c>
    </row>
    <row r="34" spans="1:13" ht="25.5" x14ac:dyDescent="0.25">
      <c r="A34" s="416" t="s">
        <v>1652</v>
      </c>
      <c r="B34" s="410" t="s">
        <v>748</v>
      </c>
      <c r="C34" s="436">
        <f>IF(ISERROR(('A6-FinPos'!C8+'A6-FinPos'!C9+'A6-FinPos'!C10)/SUM('A4-FinPerf RE'!C5:C12)),0,(('A6-FinPos'!C8+'A6-FinPos'!C9+'A6-FinPos'!C10)/SUM('A4-FinPerf RE'!C5:C12)))</f>
        <v>0.83836324396952244</v>
      </c>
      <c r="D34" s="437">
        <f>IF(ISERROR(('A6-FinPos'!D8+'A6-FinPos'!D9+'A6-FinPos'!D10)/SUM('A4-FinPerf RE'!D5:D12)),0,(('A6-FinPos'!D8+'A6-FinPos'!D9+'A6-FinPos'!D10)/SUM('A4-FinPerf RE'!D5:D12)))</f>
        <v>0.32278367237264149</v>
      </c>
      <c r="E34" s="438">
        <f>IF(ISERROR(('A6-FinPos'!E8+'A6-FinPos'!E9+'A6-FinPos'!E10)/SUM('A4-FinPerf RE'!E5:E12)),0,(('A6-FinPos'!E8+'A6-FinPos'!E9+'A6-FinPos'!E10)/SUM('A4-FinPerf RE'!E5:E12)))</f>
        <v>0.13171463237671616</v>
      </c>
      <c r="F34" s="439">
        <f>IF(ISERROR(('A6-FinPos'!F8+'A6-FinPos'!F9+'A6-FinPos'!F10)/SUM('A4-FinPerf RE'!F5:F12)),0,(('A6-FinPos'!F8+'A6-FinPos'!F9+'A6-FinPos'!F10)/SUM('A4-FinPerf RE'!F5:F12)))</f>
        <v>0.86083557639864483</v>
      </c>
      <c r="G34" s="437">
        <f>IF(ISERROR(('A6-FinPos'!G8+'A6-FinPos'!G9+'A6-FinPos'!G10)/SUM('A4-FinPerf RE'!G5:G12)),0,(('A6-FinPos'!G8+'A6-FinPos'!G9+'A6-FinPos'!G10)/SUM('A4-FinPerf RE'!G5:G12)))</f>
        <v>0.10072970981966281</v>
      </c>
      <c r="H34" s="438">
        <f>IF(ISERROR(('A6-FinPos'!H8+'A6-FinPos'!H9+'A6-FinPos'!H10)/SUM('A4-FinPerf RE'!H5:H12)),0,(('A6-FinPos'!H8+'A6-FinPos'!H9+'A6-FinPos'!H10)/SUM('A4-FinPerf RE'!H5:H12)))</f>
        <v>0.10072970981966281</v>
      </c>
      <c r="I34" s="440">
        <f>IF(ISERROR(('A6-FinPos'!I8+'A6-FinPos'!I9+'A6-FinPos'!I10)/SUM('A4-FinPerf RE'!I5:I12)),0,(('A6-FinPos'!I8+'A6-FinPos'!I9+'A6-FinPos'!I10)/SUM('A4-FinPerf RE'!I5:I12)))</f>
        <v>0.10072970981966281</v>
      </c>
      <c r="J34" s="436">
        <f>IF(ISERROR(('A6-FinPos'!J8+'A6-FinPos'!J9+'A6-FinPos'!J10)/SUM('A4-FinPerf RE'!J5:J12)),0,(('A6-FinPos'!J8+'A6-FinPos'!J9+'A6-FinPos'!J10)/SUM('A4-FinPerf RE'!J5:J12)))</f>
        <v>6.9920302471675064E-2</v>
      </c>
      <c r="K34" s="437">
        <f>IF(ISERROR(('A6-FinPos'!K8+'A6-FinPos'!K9+'A6-FinPos'!K10)/SUM('A4-FinPerf RE'!K5:K12)),0,(('A6-FinPos'!K8+'A6-FinPos'!K9+'A6-FinPos'!K10)/SUM('A4-FinPerf RE'!K5:K12)))</f>
        <v>7.0681947599702311E-2</v>
      </c>
      <c r="L34" s="438">
        <f>IF(ISERROR(('A6-FinPos'!L8+'A6-FinPos'!L9+'A6-FinPos'!L10)/SUM('A4-FinPerf RE'!L5:L12)),0,(('A6-FinPos'!L8+'A6-FinPos'!L9+'A6-FinPos'!L10)/SUM('A4-FinPerf RE'!L5:L12)))</f>
        <v>8.2169109514330749E-2</v>
      </c>
    </row>
    <row r="35" spans="1:13" ht="25.5" x14ac:dyDescent="0.25">
      <c r="A35" s="448" t="s">
        <v>1653</v>
      </c>
      <c r="B35" s="449" t="s">
        <v>1562</v>
      </c>
      <c r="C35" s="450">
        <f>IF(ISERROR('A7-CFlow'!C38/'SA8'!C42),0,('A7-CFlow'!C38/'SA8'!C42))</f>
        <v>-0.44844639467950848</v>
      </c>
      <c r="D35" s="451">
        <f>IF(ISERROR('A7-CFlow'!D38/'SA8'!D42),0,('A7-CFlow'!D38/'SA8'!D42))</f>
        <v>1.1738292438708269</v>
      </c>
      <c r="E35" s="452">
        <f>IF(ISERROR('A7-CFlow'!E38/'SA8'!E42),0,('A7-CFlow'!E38/'SA8'!E42))</f>
        <v>0.81422718214327694</v>
      </c>
      <c r="F35" s="453">
        <f>IF(ISERROR('A7-CFlow'!F38/'SA8'!F42),0,('A7-CFlow'!F38/'SA8'!F42))</f>
        <v>3.7994189089362709</v>
      </c>
      <c r="G35" s="451">
        <f>IF(ISERROR('A7-CFlow'!G38/'SA8'!G42),0,('A7-CFlow'!G38/'SA8'!G42))</f>
        <v>-2.7693153446713712</v>
      </c>
      <c r="H35" s="452">
        <f>IF(ISERROR('A7-CFlow'!H38/'SA8'!H42),0,('A7-CFlow'!H38/'SA8'!H42))</f>
        <v>-2.7693153446713712</v>
      </c>
      <c r="I35" s="454">
        <f>IF(ISERROR('A7-CFlow'!I38/'SA8'!I42),0,('A7-CFlow'!I38/'SA8'!I42))</f>
        <v>-2.7693153446713712</v>
      </c>
      <c r="J35" s="450">
        <f>IF(ISERROR('A7-CFlow'!J38/'SA8'!J42),0,('A7-CFlow'!J38/'SA8'!J42))</f>
        <v>-4.4752929522088012</v>
      </c>
      <c r="K35" s="451">
        <f>IF(ISERROR('A7-CFlow'!K38/'SA8'!K42),0,('A7-CFlow'!K38/'SA8'!K42))</f>
        <v>-5.754242772285278</v>
      </c>
      <c r="L35" s="452">
        <f>IF(ISERROR('A7-CFlow'!L38/'SA8'!L42),0,('A7-CFlow'!L38/'SA8'!L42))</f>
        <v>-6.7874719085157649</v>
      </c>
    </row>
    <row r="36" spans="1:13" x14ac:dyDescent="0.25">
      <c r="A36" s="324" t="str">
        <f>head27a</f>
        <v>References</v>
      </c>
    </row>
    <row r="37" spans="1:13" x14ac:dyDescent="0.25">
      <c r="A37" s="401" t="s">
        <v>1292</v>
      </c>
    </row>
    <row r="38" spans="1:13" x14ac:dyDescent="0.25">
      <c r="A38" s="401" t="s">
        <v>1291</v>
      </c>
    </row>
    <row r="40" spans="1:13" x14ac:dyDescent="0.25">
      <c r="A40" s="403" t="s">
        <v>787</v>
      </c>
    </row>
    <row r="41" spans="1:13" x14ac:dyDescent="0.25">
      <c r="A41" s="148" t="s">
        <v>1450</v>
      </c>
      <c r="C41" s="208"/>
      <c r="D41" s="208"/>
      <c r="E41" s="1330"/>
      <c r="F41" s="1330"/>
      <c r="G41" s="1330"/>
      <c r="H41" s="1330"/>
      <c r="I41" s="1330"/>
      <c r="J41" s="1330"/>
      <c r="K41" s="1330"/>
      <c r="L41" s="1330"/>
      <c r="M41" s="338"/>
    </row>
    <row r="42" spans="1:13" x14ac:dyDescent="0.25">
      <c r="A42" s="148" t="s">
        <v>1455</v>
      </c>
      <c r="C42" s="200">
        <f>(('A4-FinPerf RE'!C25+'A4-FinPerf RE'!C26+'A4-FinPerf RE'!C27+'A4-FinPerf RE'!C29+'A4-FinPerf RE'!C30+'A4-FinPerf RE'!C32+'SA1'!C87+'A7-CFlow'!C33)+(('A4-FinPerf RE'!C31+'A4-FinPerf RE'!C34)*'SA8'!C43))/12</f>
        <v>2712487.2993333335</v>
      </c>
      <c r="D42" s="200">
        <f>(('A4-FinPerf RE'!D25+'A4-FinPerf RE'!D26+'A4-FinPerf RE'!D27+'A4-FinPerf RE'!D29+'A4-FinPerf RE'!D30+'A4-FinPerf RE'!D32+'SA1'!D87+'A7-CFlow'!D33)+(('A4-FinPerf RE'!D31+'A4-FinPerf RE'!D34)*'SA8'!D43))/12</f>
        <v>4148518.0690807835</v>
      </c>
      <c r="E42" s="200">
        <f>(('A4-FinPerf RE'!E25+'A4-FinPerf RE'!E26+'A4-FinPerf RE'!E27+'A4-FinPerf RE'!E29+'A4-FinPerf RE'!E30+'A4-FinPerf RE'!E32+'SA1'!E87+'A7-CFlow'!E33)+(('A4-FinPerf RE'!E31+'A4-FinPerf RE'!E34)*'SA8'!E43))/12</f>
        <v>4282725.7606052896</v>
      </c>
      <c r="F42" s="200">
        <f>(('A4-FinPerf RE'!F25+'A4-FinPerf RE'!F26+'A4-FinPerf RE'!F27+'A4-FinPerf RE'!F29+'A4-FinPerf RE'!F30+'A4-FinPerf RE'!F32+'SA1'!F87+'A7-CFlow'!F33)+(('A4-FinPerf RE'!F31+'A4-FinPerf RE'!F34)*'SA8'!F43))/12</f>
        <v>4313686.7849795995</v>
      </c>
      <c r="G42" s="200">
        <f>(('A4-FinPerf RE'!G25+'A4-FinPerf RE'!G26+'A4-FinPerf RE'!G27+'A4-FinPerf RE'!G29+'A4-FinPerf RE'!G30+'A4-FinPerf RE'!G32+'SA1'!G87+'A7-CFlow'!G33)+(('A4-FinPerf RE'!G31+'A4-FinPerf RE'!G34)*'SA8'!G43))/12</f>
        <v>5464670.9874999998</v>
      </c>
      <c r="H42" s="200">
        <f>(('A4-FinPerf RE'!H25+'A4-FinPerf RE'!H26+'A4-FinPerf RE'!H27+'A4-FinPerf RE'!H29+'A4-FinPerf RE'!H30+'A4-FinPerf RE'!H32+'SA1'!H87+'A7-CFlow'!H33)+(('A4-FinPerf RE'!H31+'A4-FinPerf RE'!H34)*'SA8'!H43))/12</f>
        <v>5464670.9874999998</v>
      </c>
      <c r="I42" s="200">
        <f>(('A4-FinPerf RE'!I25+'A4-FinPerf RE'!I26+'A4-FinPerf RE'!I27+'A4-FinPerf RE'!I29+'A4-FinPerf RE'!I30+'A4-FinPerf RE'!I32+'SA1'!I87+'A7-CFlow'!I33)+(('A4-FinPerf RE'!I31+'A4-FinPerf RE'!I34)*'SA8'!I43))/12</f>
        <v>5464670.9874999998</v>
      </c>
      <c r="J42" s="200">
        <f>(('A4-FinPerf RE'!J25+'A4-FinPerf RE'!J26+'A4-FinPerf RE'!J27+'A4-FinPerf RE'!J29+'A4-FinPerf RE'!J30+'A4-FinPerf RE'!J32+'SA1'!J87+'A7-CFlow'!J33)+(('A4-FinPerf RE'!J31+'A4-FinPerf RE'!J34)*'SA8'!J43))/12</f>
        <v>5639619.5030685151</v>
      </c>
      <c r="K42" s="200">
        <f>(('A4-FinPerf RE'!K25+'A4-FinPerf RE'!K26+'A4-FinPerf RE'!K27+'A4-FinPerf RE'!K29+'A4-FinPerf RE'!K30+'A4-FinPerf RE'!K32+'SA1'!K87+'A7-CFlow'!K33)+(('A4-FinPerf RE'!K31+'A4-FinPerf RE'!K34)*'SA8'!K43))/12</f>
        <v>5904013.7094536955</v>
      </c>
      <c r="L42" s="200">
        <f>(('A4-FinPerf RE'!L25+'A4-FinPerf RE'!L26+'A4-FinPerf RE'!L27+'A4-FinPerf RE'!L29+'A4-FinPerf RE'!L30+'A4-FinPerf RE'!L32+'SA1'!L87+'A7-CFlow'!L33)+(('A4-FinPerf RE'!L31+'A4-FinPerf RE'!L34)*'SA8'!L43))/12</f>
        <v>6263563.4490334513</v>
      </c>
    </row>
    <row r="43" spans="1:13" x14ac:dyDescent="0.25">
      <c r="A43" s="148" t="s">
        <v>1456</v>
      </c>
      <c r="C43" s="1373">
        <v>0.4</v>
      </c>
      <c r="D43" s="457">
        <f>$C$43</f>
        <v>0.4</v>
      </c>
      <c r="E43" s="457">
        <f t="shared" ref="E43:L43" si="1">$C$43</f>
        <v>0.4</v>
      </c>
      <c r="F43" s="457">
        <f t="shared" si="1"/>
        <v>0.4</v>
      </c>
      <c r="G43" s="457">
        <f t="shared" si="1"/>
        <v>0.4</v>
      </c>
      <c r="H43" s="457">
        <f t="shared" si="1"/>
        <v>0.4</v>
      </c>
      <c r="I43" s="457">
        <f t="shared" si="1"/>
        <v>0.4</v>
      </c>
      <c r="J43" s="457">
        <f t="shared" si="1"/>
        <v>0.4</v>
      </c>
      <c r="K43" s="457">
        <f t="shared" si="1"/>
        <v>0.4</v>
      </c>
      <c r="L43" s="457">
        <f t="shared" si="1"/>
        <v>0.4</v>
      </c>
    </row>
    <row r="44" spans="1:13" x14ac:dyDescent="0.25">
      <c r="A44" s="148" t="s">
        <v>914</v>
      </c>
      <c r="C44" s="1655">
        <f>'A5-Capex'!C40-'A5-Capex'!C70-'A5-Capex'!C71</f>
        <v>10218625.98</v>
      </c>
      <c r="D44" s="1655">
        <f>'A5-Capex'!D40-'A5-Capex'!D70-'A5-Capex'!D71</f>
        <v>2638728.3482000027</v>
      </c>
      <c r="E44" s="1655">
        <f>'A5-Capex'!E40-'A5-Capex'!E70-'A5-Capex'!E71</f>
        <v>2716499.83</v>
      </c>
      <c r="F44" s="1655">
        <f>'A5-Capex'!F40-'A5-Capex'!F70-'A5-Capex'!F71</f>
        <v>0</v>
      </c>
      <c r="G44" s="1655">
        <f>'A5-Capex'!G40-'A5-Capex'!G70-'A5-Capex'!G71</f>
        <v>292000</v>
      </c>
      <c r="H44" s="1655">
        <f>'A5-Capex'!H40-'A5-Capex'!H70-'A5-Capex'!H71</f>
        <v>292000</v>
      </c>
      <c r="I44" s="1655">
        <f>'A5-Capex'!I40-'A5-Capex'!I70-'A5-Capex'!I71</f>
        <v>292000</v>
      </c>
      <c r="J44" s="1655">
        <f>'A5-Capex'!J40-'A5-Capex'!J70-'A5-Capex'!J71</f>
        <v>1455000</v>
      </c>
      <c r="K44" s="1655">
        <f>'A5-Capex'!K40-'A5-Capex'!K70-'A5-Capex'!K71</f>
        <v>2351300</v>
      </c>
      <c r="L44" s="1655">
        <f>'A5-Capex'!L40-'A5-Capex'!L70-'A5-Capex'!L71</f>
        <v>1634838</v>
      </c>
    </row>
    <row r="45" spans="1:13" x14ac:dyDescent="0.25">
      <c r="A45" s="148" t="s">
        <v>1288</v>
      </c>
      <c r="C45" s="1655">
        <f>'A7-CFlow'!C29+'A7-CFlow'!C30</f>
        <v>0</v>
      </c>
      <c r="D45" s="1655">
        <f>'A7-CFlow'!D29+'A7-CFlow'!D30</f>
        <v>177073.18</v>
      </c>
      <c r="E45" s="1655">
        <f>'A7-CFlow'!E29+'A7-CFlow'!E30</f>
        <v>0</v>
      </c>
      <c r="F45" s="1655">
        <f>'A7-CFlow'!F29+'A7-CFlow'!F30</f>
        <v>0</v>
      </c>
      <c r="G45" s="1655">
        <f>'A7-CFlow'!G29+'A7-CFlow'!G30</f>
        <v>0</v>
      </c>
      <c r="H45" s="1655">
        <f>'A7-CFlow'!H29+'A7-CFlow'!H30</f>
        <v>0</v>
      </c>
      <c r="I45" s="1655">
        <f>'A7-CFlow'!I29+'A7-CFlow'!I30</f>
        <v>0</v>
      </c>
      <c r="J45" s="1655">
        <f>'A7-CFlow'!J29+'A7-CFlow'!J30</f>
        <v>0</v>
      </c>
      <c r="K45" s="1655">
        <f>'A7-CFlow'!K29+'A7-CFlow'!K30</f>
        <v>0</v>
      </c>
      <c r="L45" s="1655">
        <f>'A7-CFlow'!L29+'A7-CFlow'!L30</f>
        <v>0</v>
      </c>
    </row>
  </sheetData>
  <sheetProtection password="C646" sheet="1" objects="1" scenarios="1"/>
  <dataConsolidate/>
  <mergeCells count="4">
    <mergeCell ref="A2:A3"/>
    <mergeCell ref="J2:L2"/>
    <mergeCell ref="B2:B3"/>
    <mergeCell ref="F2:I2"/>
  </mergeCells>
  <phoneticPr fontId="4" type="noConversion"/>
  <dataValidations count="1">
    <dataValidation type="decimal" allowBlank="1" showInputMessage="1" showErrorMessage="1" sqref="C20:L20 C22:L22 C24:L24 C26:L27 E41:L41 C43">
      <formula1>-9999999999999990000</formula1>
      <formula2>99999999999999900000</formula2>
    </dataValidation>
  </dataValidations>
  <pageMargins left="0.75" right="0.75" top="1" bottom="1" header="0.5" footer="0.5"/>
  <pageSetup scale="64"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enableFormatConditionsCalculation="0">
    <tabColor indexed="42"/>
    <pageSetUpPr fitToPage="1"/>
  </sheetPr>
  <dimension ref="A1:M261"/>
  <sheetViews>
    <sheetView showGridLines="0" tabSelected="1" workbookViewId="0">
      <selection activeCell="I39" sqref="I39"/>
    </sheetView>
  </sheetViews>
  <sheetFormatPr defaultRowHeight="11.25" customHeight="1" x14ac:dyDescent="0.25"/>
  <cols>
    <col min="1" max="1" width="35.28515625" style="338" customWidth="1"/>
    <col min="2" max="2" width="3.7109375" style="148" customWidth="1"/>
    <col min="3" max="3" width="30.28515625" style="338" customWidth="1"/>
    <col min="4" max="12" width="9.28515625" style="338" customWidth="1"/>
    <col min="13" max="13" width="9.140625" style="338"/>
    <col min="14" max="16384" width="9.140625" style="148"/>
  </cols>
  <sheetData>
    <row r="1" spans="1:13" s="178" customFormat="1" ht="12.75" x14ac:dyDescent="0.2">
      <c r="A1" s="1997" t="s">
        <v>2534</v>
      </c>
      <c r="B1" s="1808"/>
      <c r="C1" s="1997"/>
      <c r="D1" s="1997"/>
      <c r="E1" s="1997"/>
      <c r="F1" s="1997"/>
      <c r="G1" s="1997"/>
      <c r="H1" s="1997"/>
      <c r="I1" s="1997"/>
      <c r="J1" s="1997"/>
      <c r="K1" s="1997"/>
      <c r="L1" s="1997"/>
      <c r="M1" s="1997"/>
    </row>
    <row r="2" spans="1:13" ht="33.75" customHeight="1" x14ac:dyDescent="0.25">
      <c r="A2" s="2744" t="s">
        <v>646</v>
      </c>
      <c r="B2" s="2746" t="s">
        <v>2006</v>
      </c>
      <c r="C2" s="2744" t="s">
        <v>1091</v>
      </c>
      <c r="D2" s="2744" t="s">
        <v>650</v>
      </c>
      <c r="E2" s="2744" t="s">
        <v>649</v>
      </c>
      <c r="F2" s="2744" t="s">
        <v>202</v>
      </c>
      <c r="G2" s="1856" t="s">
        <v>2478</v>
      </c>
      <c r="H2" s="1857" t="s">
        <v>2479</v>
      </c>
      <c r="I2" s="1858" t="s">
        <v>2480</v>
      </c>
      <c r="J2" s="1859" t="s">
        <v>2481</v>
      </c>
      <c r="K2" s="2742" t="s">
        <v>2482</v>
      </c>
      <c r="L2" s="2742"/>
      <c r="M2" s="2743"/>
    </row>
    <row r="3" spans="1:13" ht="24.95" customHeight="1" x14ac:dyDescent="0.25">
      <c r="A3" s="2745"/>
      <c r="B3" s="2747"/>
      <c r="C3" s="2745"/>
      <c r="D3" s="2745"/>
      <c r="E3" s="2745"/>
      <c r="F3" s="2745"/>
      <c r="G3" s="804" t="s">
        <v>319</v>
      </c>
      <c r="H3" s="805" t="s">
        <v>319</v>
      </c>
      <c r="I3" s="1860" t="s">
        <v>319</v>
      </c>
      <c r="J3" s="1861" t="s">
        <v>467</v>
      </c>
      <c r="K3" s="1862" t="s">
        <v>319</v>
      </c>
      <c r="L3" s="805" t="s">
        <v>319</v>
      </c>
      <c r="M3" s="1863" t="s">
        <v>319</v>
      </c>
    </row>
    <row r="4" spans="1:13" ht="11.25" customHeight="1" x14ac:dyDescent="0.25">
      <c r="A4" s="2433" t="s">
        <v>651</v>
      </c>
      <c r="B4" s="1891"/>
      <c r="C4" s="2326"/>
      <c r="D4" s="2327"/>
      <c r="E4" s="2327"/>
      <c r="F4" s="2327"/>
      <c r="G4" s="2328"/>
      <c r="H4" s="2329"/>
      <c r="I4" s="2330"/>
      <c r="J4" s="2331"/>
      <c r="K4" s="2332"/>
      <c r="L4" s="2329"/>
      <c r="M4" s="2333"/>
    </row>
    <row r="5" spans="1:13" ht="11.25" customHeight="1" x14ac:dyDescent="0.25">
      <c r="A5" s="2434" t="s">
        <v>1123</v>
      </c>
      <c r="B5" s="1892"/>
      <c r="C5" s="1813"/>
      <c r="D5" s="2334"/>
      <c r="E5" s="2334"/>
      <c r="F5" s="2334">
        <v>16375000</v>
      </c>
      <c r="G5" s="2335">
        <v>16417000</v>
      </c>
      <c r="H5" s="2336">
        <v>16375000</v>
      </c>
      <c r="I5" s="2336">
        <v>16375000</v>
      </c>
      <c r="J5" s="2337">
        <v>16153000</v>
      </c>
      <c r="K5" s="2338"/>
      <c r="L5" s="2336"/>
      <c r="M5" s="2339"/>
    </row>
    <row r="6" spans="1:13" ht="11.25" customHeight="1" x14ac:dyDescent="0.25">
      <c r="A6" s="2435" t="s">
        <v>1121</v>
      </c>
      <c r="B6" s="1893"/>
      <c r="C6" s="1813"/>
      <c r="D6" s="2334"/>
      <c r="E6" s="2334"/>
      <c r="F6" s="2334"/>
      <c r="G6" s="2340"/>
      <c r="H6" s="2341">
        <v>1890000</v>
      </c>
      <c r="I6" s="2342">
        <v>1890000</v>
      </c>
      <c r="J6" s="2343">
        <v>1789000</v>
      </c>
      <c r="K6" s="2344"/>
      <c r="L6" s="2341"/>
      <c r="M6" s="2345"/>
    </row>
    <row r="7" spans="1:13" ht="11.25" customHeight="1" x14ac:dyDescent="0.25">
      <c r="A7" s="2435" t="s">
        <v>129</v>
      </c>
      <c r="B7" s="1893"/>
      <c r="C7" s="1813"/>
      <c r="D7" s="2334"/>
      <c r="E7" s="2334"/>
      <c r="F7" s="2334"/>
      <c r="G7" s="2340"/>
      <c r="H7" s="2341">
        <v>1778000</v>
      </c>
      <c r="I7" s="2342">
        <v>1778000</v>
      </c>
      <c r="J7" s="2343">
        <v>7916000</v>
      </c>
      <c r="K7" s="2344"/>
      <c r="L7" s="2341"/>
      <c r="M7" s="2345"/>
    </row>
    <row r="8" spans="1:13" ht="11.25" customHeight="1" x14ac:dyDescent="0.25">
      <c r="A8" s="2435" t="s">
        <v>1122</v>
      </c>
      <c r="B8" s="1893"/>
      <c r="C8" s="1813"/>
      <c r="D8" s="2334"/>
      <c r="E8" s="2334"/>
      <c r="F8" s="2334"/>
      <c r="G8" s="2340"/>
      <c r="H8" s="2341">
        <v>2619000</v>
      </c>
      <c r="I8" s="2341">
        <v>2619000</v>
      </c>
      <c r="J8" s="2343">
        <v>8460000</v>
      </c>
      <c r="K8" s="2344"/>
      <c r="L8" s="2341"/>
      <c r="M8" s="2345"/>
    </row>
    <row r="9" spans="1:13" ht="11.25" customHeight="1" x14ac:dyDescent="0.25">
      <c r="A9" s="2435" t="s">
        <v>130</v>
      </c>
      <c r="B9" s="1893"/>
      <c r="C9" s="1813"/>
      <c r="D9" s="2334"/>
      <c r="E9" s="2334"/>
      <c r="F9" s="2334"/>
      <c r="G9" s="2340"/>
      <c r="H9" s="2341">
        <v>2983000</v>
      </c>
      <c r="I9" s="2341">
        <v>2983000</v>
      </c>
      <c r="J9" s="2343">
        <v>2111000</v>
      </c>
      <c r="K9" s="2344"/>
      <c r="L9" s="2341"/>
      <c r="M9" s="2345"/>
    </row>
    <row r="10" spans="1:13" ht="12.75" customHeight="1" x14ac:dyDescent="0.25">
      <c r="A10" s="2436" t="s">
        <v>1124</v>
      </c>
      <c r="B10" s="1894"/>
      <c r="C10" s="1823"/>
      <c r="D10" s="2346"/>
      <c r="E10" s="2346"/>
      <c r="F10" s="2346"/>
      <c r="G10" s="2347"/>
      <c r="H10" s="2348"/>
      <c r="I10" s="2349"/>
      <c r="J10" s="2350"/>
      <c r="K10" s="2351"/>
      <c r="L10" s="2348"/>
      <c r="M10" s="2352"/>
    </row>
    <row r="11" spans="1:13" ht="11.25" customHeight="1" x14ac:dyDescent="0.25">
      <c r="A11" s="2435"/>
      <c r="B11" s="1893"/>
      <c r="C11" s="2353"/>
      <c r="D11" s="460"/>
      <c r="E11" s="460"/>
      <c r="F11" s="460"/>
      <c r="G11" s="424"/>
      <c r="H11" s="422"/>
      <c r="I11" s="2354"/>
      <c r="J11" s="2355"/>
      <c r="K11" s="425"/>
      <c r="L11" s="422"/>
      <c r="M11" s="423"/>
    </row>
    <row r="12" spans="1:13" ht="11.25" customHeight="1" x14ac:dyDescent="0.25">
      <c r="A12" s="2437" t="s">
        <v>2214</v>
      </c>
      <c r="B12" s="1892" t="s">
        <v>2175</v>
      </c>
      <c r="C12" s="2353"/>
      <c r="D12" s="460"/>
      <c r="E12" s="460"/>
      <c r="F12" s="460"/>
      <c r="G12" s="424"/>
      <c r="H12" s="422"/>
      <c r="I12" s="2354"/>
      <c r="J12" s="2355"/>
      <c r="K12" s="425"/>
      <c r="L12" s="422"/>
      <c r="M12" s="423"/>
    </row>
    <row r="13" spans="1:13" ht="11.25" customHeight="1" x14ac:dyDescent="0.25">
      <c r="A13" s="1889" t="s">
        <v>2174</v>
      </c>
      <c r="B13" s="1812"/>
      <c r="C13" s="1813"/>
      <c r="D13" s="2356"/>
      <c r="E13" s="2356"/>
      <c r="F13" s="2356"/>
      <c r="G13" s="2287"/>
      <c r="H13" s="2285"/>
      <c r="I13" s="2357"/>
      <c r="J13" s="2358"/>
      <c r="K13" s="2288"/>
      <c r="L13" s="2285"/>
      <c r="M13" s="2286"/>
    </row>
    <row r="14" spans="1:13" ht="11.25" customHeight="1" x14ac:dyDescent="0.25">
      <c r="A14" s="1889" t="s">
        <v>2190</v>
      </c>
      <c r="B14" s="1812"/>
      <c r="C14" s="1813"/>
      <c r="D14" s="2356"/>
      <c r="E14" s="2356"/>
      <c r="F14" s="2356"/>
      <c r="G14" s="2287"/>
      <c r="H14" s="2285"/>
      <c r="I14" s="2357"/>
      <c r="J14" s="2358"/>
      <c r="K14" s="2288"/>
      <c r="L14" s="2285"/>
      <c r="M14" s="2286"/>
    </row>
    <row r="15" spans="1:13" ht="11.25" customHeight="1" x14ac:dyDescent="0.25">
      <c r="A15" s="1889" t="s">
        <v>2191</v>
      </c>
      <c r="B15" s="1812"/>
      <c r="C15" s="1813"/>
      <c r="D15" s="2356"/>
      <c r="E15" s="2356"/>
      <c r="F15" s="2356"/>
      <c r="G15" s="2287"/>
      <c r="H15" s="2285"/>
      <c r="I15" s="2357"/>
      <c r="J15" s="2358"/>
      <c r="K15" s="2288"/>
      <c r="L15" s="2285"/>
      <c r="M15" s="2286"/>
    </row>
    <row r="16" spans="1:13" ht="11.25" customHeight="1" x14ac:dyDescent="0.25">
      <c r="A16" s="1889" t="s">
        <v>2192</v>
      </c>
      <c r="B16" s="1812"/>
      <c r="C16" s="1813"/>
      <c r="D16" s="2356"/>
      <c r="E16" s="2356"/>
      <c r="F16" s="2356"/>
      <c r="G16" s="2287"/>
      <c r="H16" s="2285"/>
      <c r="I16" s="2357"/>
      <c r="J16" s="2358"/>
      <c r="K16" s="2288"/>
      <c r="L16" s="2285"/>
      <c r="M16" s="2286"/>
    </row>
    <row r="17" spans="1:13" ht="11.25" customHeight="1" x14ac:dyDescent="0.25">
      <c r="A17" s="1889" t="s">
        <v>2193</v>
      </c>
      <c r="B17" s="1812"/>
      <c r="C17" s="1813"/>
      <c r="D17" s="2356"/>
      <c r="E17" s="2356"/>
      <c r="F17" s="2356"/>
      <c r="G17" s="2287"/>
      <c r="H17" s="2285"/>
      <c r="I17" s="2357"/>
      <c r="J17" s="2358"/>
      <c r="K17" s="2288"/>
      <c r="L17" s="2285"/>
      <c r="M17" s="2286"/>
    </row>
    <row r="18" spans="1:13" ht="11.25" customHeight="1" x14ac:dyDescent="0.25">
      <c r="A18" s="1889" t="s">
        <v>2194</v>
      </c>
      <c r="B18" s="1812"/>
      <c r="C18" s="1813"/>
      <c r="D18" s="2356"/>
      <c r="E18" s="2356"/>
      <c r="F18" s="2356"/>
      <c r="G18" s="2287"/>
      <c r="H18" s="2285"/>
      <c r="I18" s="2357"/>
      <c r="J18" s="2358"/>
      <c r="K18" s="2288"/>
      <c r="L18" s="2285"/>
      <c r="M18" s="2286"/>
    </row>
    <row r="19" spans="1:13" ht="11.25" customHeight="1" x14ac:dyDescent="0.25">
      <c r="A19" s="1889" t="s">
        <v>2195</v>
      </c>
      <c r="B19" s="1812"/>
      <c r="C19" s="1813"/>
      <c r="D19" s="2356"/>
      <c r="E19" s="2356"/>
      <c r="F19" s="2356"/>
      <c r="G19" s="2287"/>
      <c r="H19" s="2285"/>
      <c r="I19" s="2357"/>
      <c r="J19" s="2358"/>
      <c r="K19" s="2288"/>
      <c r="L19" s="2285"/>
      <c r="M19" s="2286"/>
    </row>
    <row r="20" spans="1:13" ht="11.25" customHeight="1" x14ac:dyDescent="0.25">
      <c r="A20" s="1889" t="s">
        <v>2196</v>
      </c>
      <c r="B20" s="1812"/>
      <c r="C20" s="1813"/>
      <c r="D20" s="2356"/>
      <c r="E20" s="2356"/>
      <c r="F20" s="2356"/>
      <c r="G20" s="2287"/>
      <c r="H20" s="2285"/>
      <c r="I20" s="2357"/>
      <c r="J20" s="2358"/>
      <c r="K20" s="2288"/>
      <c r="L20" s="2285"/>
      <c r="M20" s="2286"/>
    </row>
    <row r="21" spans="1:13" ht="11.25" customHeight="1" x14ac:dyDescent="0.25">
      <c r="A21" s="1889" t="s">
        <v>2197</v>
      </c>
      <c r="B21" s="1812"/>
      <c r="C21" s="1813"/>
      <c r="D21" s="2356"/>
      <c r="E21" s="2356"/>
      <c r="F21" s="2356"/>
      <c r="G21" s="2287"/>
      <c r="H21" s="2285"/>
      <c r="I21" s="2357"/>
      <c r="J21" s="2358"/>
      <c r="K21" s="2288"/>
      <c r="L21" s="2285"/>
      <c r="M21" s="2286"/>
    </row>
    <row r="22" spans="1:13" ht="11.25" customHeight="1" x14ac:dyDescent="0.25">
      <c r="A22" s="1889" t="s">
        <v>2198</v>
      </c>
      <c r="B22" s="1812"/>
      <c r="C22" s="1813"/>
      <c r="D22" s="2356"/>
      <c r="E22" s="2356"/>
      <c r="F22" s="2356"/>
      <c r="G22" s="2287"/>
      <c r="H22" s="2285"/>
      <c r="I22" s="2357"/>
      <c r="J22" s="2358"/>
      <c r="K22" s="2288"/>
      <c r="L22" s="2285"/>
      <c r="M22" s="2286"/>
    </row>
    <row r="23" spans="1:13" ht="11.25" customHeight="1" x14ac:dyDescent="0.25">
      <c r="A23" s="1889" t="s">
        <v>2199</v>
      </c>
      <c r="B23" s="1812"/>
      <c r="C23" s="1813"/>
      <c r="D23" s="2356"/>
      <c r="E23" s="2356"/>
      <c r="F23" s="2356"/>
      <c r="G23" s="2287"/>
      <c r="H23" s="2285"/>
      <c r="I23" s="2357"/>
      <c r="J23" s="2358"/>
      <c r="K23" s="2288"/>
      <c r="L23" s="2285"/>
      <c r="M23" s="2286"/>
    </row>
    <row r="24" spans="1:13" ht="11.25" customHeight="1" x14ac:dyDescent="0.25">
      <c r="A24" s="1889" t="s">
        <v>2200</v>
      </c>
      <c r="B24" s="1812"/>
      <c r="C24" s="1813"/>
      <c r="D24" s="2356"/>
      <c r="E24" s="2356"/>
      <c r="F24" s="2356"/>
      <c r="G24" s="2287"/>
      <c r="H24" s="2285"/>
      <c r="I24" s="2357"/>
      <c r="J24" s="2358"/>
      <c r="K24" s="2288"/>
      <c r="L24" s="2285"/>
      <c r="M24" s="2286"/>
    </row>
    <row r="25" spans="1:13" ht="3.75" customHeight="1" x14ac:dyDescent="0.25">
      <c r="A25" s="1890"/>
      <c r="B25" s="1822"/>
      <c r="C25" s="1823"/>
      <c r="D25" s="2359"/>
      <c r="E25" s="2359"/>
      <c r="F25" s="2359"/>
      <c r="G25" s="2360"/>
      <c r="H25" s="2361"/>
      <c r="I25" s="2362"/>
      <c r="J25" s="2363"/>
      <c r="K25" s="2364"/>
      <c r="L25" s="2361"/>
      <c r="M25" s="2365"/>
    </row>
    <row r="26" spans="1:13" ht="11.25" customHeight="1" x14ac:dyDescent="0.25">
      <c r="A26" s="2435"/>
      <c r="B26" s="1893"/>
      <c r="C26" s="2366"/>
      <c r="D26" s="462"/>
      <c r="E26" s="462"/>
      <c r="F26" s="462"/>
      <c r="G26" s="2367"/>
      <c r="H26" s="2368"/>
      <c r="I26" s="2369"/>
      <c r="J26" s="2370"/>
      <c r="K26" s="2371"/>
      <c r="L26" s="2368"/>
      <c r="M26" s="2372"/>
    </row>
    <row r="27" spans="1:13" ht="11.25" customHeight="1" x14ac:dyDescent="0.25">
      <c r="A27" s="2437" t="s">
        <v>2215</v>
      </c>
      <c r="B27" s="1892"/>
      <c r="C27" s="2366"/>
      <c r="D27" s="462"/>
      <c r="E27" s="462"/>
      <c r="F27" s="462"/>
      <c r="G27" s="2367"/>
      <c r="H27" s="2368"/>
      <c r="I27" s="2369"/>
      <c r="J27" s="2370"/>
      <c r="K27" s="2371"/>
      <c r="L27" s="2368"/>
      <c r="M27" s="2372"/>
    </row>
    <row r="28" spans="1:13" ht="12.75" customHeight="1" x14ac:dyDescent="0.25">
      <c r="A28" s="1889" t="s">
        <v>2217</v>
      </c>
      <c r="B28" s="1812">
        <v>13</v>
      </c>
      <c r="C28" s="1813"/>
      <c r="D28" s="2373"/>
      <c r="E28" s="2373"/>
      <c r="F28" s="2373"/>
      <c r="G28" s="2374"/>
      <c r="H28" s="2375"/>
      <c r="I28" s="2376"/>
      <c r="J28" s="2377"/>
      <c r="K28" s="2378"/>
      <c r="L28" s="2375"/>
      <c r="M28" s="2379"/>
    </row>
    <row r="29" spans="1:13" ht="12.75" customHeight="1" x14ac:dyDescent="0.25">
      <c r="A29" s="1889" t="s">
        <v>1099</v>
      </c>
      <c r="B29" s="1812">
        <v>2</v>
      </c>
      <c r="C29" s="1813"/>
      <c r="D29" s="2373"/>
      <c r="E29" s="2373"/>
      <c r="F29" s="2373"/>
      <c r="G29" s="2374"/>
      <c r="H29" s="2375"/>
      <c r="I29" s="2376"/>
      <c r="J29" s="2377"/>
      <c r="K29" s="2378"/>
      <c r="L29" s="2375"/>
      <c r="M29" s="2379"/>
    </row>
    <row r="30" spans="1:13" ht="4.5" customHeight="1" x14ac:dyDescent="0.25">
      <c r="A30" s="886"/>
      <c r="B30" s="1809"/>
      <c r="C30" s="1810"/>
      <c r="D30" s="887"/>
      <c r="E30" s="887"/>
      <c r="F30" s="887"/>
      <c r="G30" s="888"/>
      <c r="H30" s="889"/>
      <c r="I30" s="890"/>
      <c r="J30" s="891"/>
      <c r="K30" s="892"/>
      <c r="L30" s="889"/>
      <c r="M30" s="893"/>
    </row>
    <row r="31" spans="1:13" ht="11.25" customHeight="1" x14ac:dyDescent="0.25">
      <c r="A31" s="2437" t="s">
        <v>1826</v>
      </c>
      <c r="B31" s="1892"/>
      <c r="C31" s="2366"/>
      <c r="D31" s="462"/>
      <c r="E31" s="462"/>
      <c r="F31" s="462"/>
      <c r="G31" s="2367"/>
      <c r="H31" s="2368"/>
      <c r="I31" s="2369"/>
      <c r="J31" s="2370"/>
      <c r="K31" s="2371"/>
      <c r="L31" s="2368"/>
      <c r="M31" s="2372"/>
    </row>
    <row r="32" spans="1:13" ht="11.25" customHeight="1" x14ac:dyDescent="0.25">
      <c r="A32" s="1889" t="s">
        <v>1827</v>
      </c>
      <c r="B32" s="1812"/>
      <c r="C32" s="1813"/>
      <c r="D32" s="2373"/>
      <c r="E32" s="2373"/>
      <c r="F32" s="2373">
        <v>16375000</v>
      </c>
      <c r="G32" s="1030">
        <v>16375000</v>
      </c>
      <c r="H32" s="1030">
        <v>16375000</v>
      </c>
      <c r="I32" s="1030">
        <v>16375000</v>
      </c>
      <c r="J32" s="2215">
        <v>16153000</v>
      </c>
      <c r="K32" s="2026"/>
      <c r="L32" s="1030"/>
      <c r="M32" s="2025"/>
    </row>
    <row r="33" spans="1:13" ht="11.25" customHeight="1" x14ac:dyDescent="0.25">
      <c r="A33" s="1889" t="s">
        <v>1828</v>
      </c>
      <c r="B33" s="1812"/>
      <c r="C33" s="1813"/>
      <c r="D33" s="2373"/>
      <c r="E33" s="2373"/>
      <c r="F33" s="2373">
        <v>1693000</v>
      </c>
      <c r="G33" s="1030">
        <v>1929000</v>
      </c>
      <c r="H33" s="1030">
        <v>1929000</v>
      </c>
      <c r="I33" s="1030">
        <v>1929000</v>
      </c>
      <c r="J33" s="2215">
        <v>4165000</v>
      </c>
      <c r="K33" s="2026"/>
      <c r="L33" s="1030"/>
      <c r="M33" s="2025"/>
    </row>
    <row r="34" spans="1:13" ht="11.25" customHeight="1" x14ac:dyDescent="0.25">
      <c r="A34" s="1889" t="s">
        <v>1829</v>
      </c>
      <c r="B34" s="1812"/>
      <c r="C34" s="1813"/>
      <c r="D34" s="2373"/>
      <c r="E34" s="2373"/>
      <c r="F34" s="2373">
        <v>4155000</v>
      </c>
      <c r="G34" s="1030">
        <v>4662000</v>
      </c>
      <c r="H34" s="1030">
        <v>4662000</v>
      </c>
      <c r="I34" s="1030">
        <v>4662000</v>
      </c>
      <c r="J34" s="2215">
        <v>1601000</v>
      </c>
      <c r="K34" s="2026"/>
      <c r="L34" s="1030"/>
      <c r="M34" s="2025"/>
    </row>
    <row r="35" spans="1:13" ht="11.25" customHeight="1" x14ac:dyDescent="0.25">
      <c r="A35" s="1889" t="s">
        <v>1830</v>
      </c>
      <c r="B35" s="1812"/>
      <c r="C35" s="1813"/>
      <c r="D35" s="2373"/>
      <c r="E35" s="2373"/>
      <c r="F35" s="2373">
        <v>1693000</v>
      </c>
      <c r="G35" s="1030">
        <v>1929000</v>
      </c>
      <c r="H35" s="1030">
        <v>1929000</v>
      </c>
      <c r="I35" s="1030">
        <v>1929000</v>
      </c>
      <c r="J35" s="2215">
        <v>1601000</v>
      </c>
      <c r="K35" s="2026"/>
      <c r="L35" s="1030"/>
      <c r="M35" s="2025"/>
    </row>
    <row r="36" spans="1:13" ht="12.75" customHeight="1" x14ac:dyDescent="0.25">
      <c r="A36" s="2438" t="s">
        <v>302</v>
      </c>
      <c r="B36" s="1822"/>
      <c r="C36" s="1823"/>
      <c r="D36" s="2380"/>
      <c r="E36" s="2380"/>
      <c r="F36" s="2380">
        <v>189</v>
      </c>
      <c r="G36" s="2381">
        <v>195</v>
      </c>
      <c r="H36" s="2381">
        <v>195</v>
      </c>
      <c r="I36" s="2381">
        <v>195</v>
      </c>
      <c r="J36" s="2382">
        <v>1120</v>
      </c>
      <c r="K36" s="2383"/>
      <c r="L36" s="2381"/>
      <c r="M36" s="2384"/>
    </row>
    <row r="37" spans="1:13" ht="11.25" customHeight="1" x14ac:dyDescent="0.25">
      <c r="A37" s="2437"/>
      <c r="B37" s="1892"/>
      <c r="C37" s="2366"/>
      <c r="D37" s="462"/>
      <c r="E37" s="462"/>
      <c r="F37" s="462"/>
      <c r="G37" s="2367"/>
      <c r="H37" s="2368"/>
      <c r="I37" s="2369"/>
      <c r="J37" s="2370"/>
      <c r="K37" s="2371"/>
      <c r="L37" s="2368"/>
      <c r="M37" s="2372"/>
    </row>
    <row r="38" spans="1:13" ht="11.25" customHeight="1" x14ac:dyDescent="0.25">
      <c r="A38" s="2437" t="s">
        <v>2086</v>
      </c>
      <c r="B38" s="1892">
        <v>3</v>
      </c>
      <c r="C38" s="2366"/>
      <c r="D38" s="462"/>
      <c r="E38" s="462"/>
      <c r="F38" s="462"/>
      <c r="G38" s="2367"/>
      <c r="H38" s="2368"/>
      <c r="I38" s="2369"/>
      <c r="J38" s="2370"/>
      <c r="K38" s="2371"/>
      <c r="L38" s="2368"/>
      <c r="M38" s="2372"/>
    </row>
    <row r="39" spans="1:13" ht="11.25" customHeight="1" x14ac:dyDescent="0.25">
      <c r="A39" s="1889" t="s">
        <v>924</v>
      </c>
      <c r="B39" s="1812"/>
      <c r="C39" s="1813"/>
      <c r="D39" s="2373"/>
      <c r="E39" s="2373"/>
      <c r="F39" s="2373">
        <v>2862</v>
      </c>
      <c r="G39" s="2373">
        <v>2862</v>
      </c>
      <c r="H39" s="2373">
        <v>2862</v>
      </c>
      <c r="I39" s="2373">
        <v>2862</v>
      </c>
      <c r="J39" s="2271">
        <v>3539</v>
      </c>
      <c r="K39" s="2385"/>
      <c r="L39" s="2386"/>
      <c r="M39" s="2387"/>
    </row>
    <row r="40" spans="1:13" ht="11.25" customHeight="1" x14ac:dyDescent="0.25">
      <c r="A40" s="1889" t="s">
        <v>925</v>
      </c>
      <c r="B40" s="1812"/>
      <c r="C40" s="1813"/>
      <c r="D40" s="2388"/>
      <c r="E40" s="2380"/>
      <c r="F40" s="2380">
        <v>308</v>
      </c>
      <c r="G40" s="2380">
        <v>308</v>
      </c>
      <c r="H40" s="2380">
        <v>308</v>
      </c>
      <c r="I40" s="2380">
        <v>308</v>
      </c>
      <c r="J40" s="2389">
        <v>292</v>
      </c>
      <c r="K40" s="2390"/>
      <c r="L40" s="2391"/>
      <c r="M40" s="2392"/>
    </row>
    <row r="41" spans="1:13" ht="11.25" customHeight="1" x14ac:dyDescent="0.25">
      <c r="A41" s="1811" t="s">
        <v>1336</v>
      </c>
      <c r="B41" s="1812"/>
      <c r="C41" s="1813"/>
      <c r="D41" s="1814">
        <v>0</v>
      </c>
      <c r="E41" s="1814">
        <v>0</v>
      </c>
      <c r="F41" s="1814">
        <v>3170</v>
      </c>
      <c r="G41" s="1815">
        <v>3170</v>
      </c>
      <c r="H41" s="1816">
        <v>3170</v>
      </c>
      <c r="I41" s="1817">
        <v>3170</v>
      </c>
      <c r="J41" s="1818">
        <v>3831</v>
      </c>
      <c r="K41" s="1819">
        <v>0</v>
      </c>
      <c r="L41" s="1816">
        <v>0</v>
      </c>
      <c r="M41" s="1820">
        <v>0</v>
      </c>
    </row>
    <row r="42" spans="1:13" ht="11.25" customHeight="1" x14ac:dyDescent="0.25">
      <c r="A42" s="1889" t="s">
        <v>2087</v>
      </c>
      <c r="B42" s="1812">
        <v>4</v>
      </c>
      <c r="C42" s="1813"/>
      <c r="D42" s="2373"/>
      <c r="E42" s="2373"/>
      <c r="F42" s="2373"/>
      <c r="G42" s="2393"/>
      <c r="H42" s="2386"/>
      <c r="I42" s="2394"/>
      <c r="J42" s="2271"/>
      <c r="K42" s="2385"/>
      <c r="L42" s="2386"/>
      <c r="M42" s="2387"/>
    </row>
    <row r="43" spans="1:13" ht="11.25" customHeight="1" x14ac:dyDescent="0.25">
      <c r="A43" s="1889" t="s">
        <v>519</v>
      </c>
      <c r="B43" s="1812"/>
      <c r="C43" s="1813"/>
      <c r="D43" s="2373"/>
      <c r="E43" s="2373"/>
      <c r="F43" s="2373"/>
      <c r="G43" s="2393"/>
      <c r="H43" s="2386"/>
      <c r="I43" s="2394"/>
      <c r="J43" s="2271"/>
      <c r="K43" s="2385"/>
      <c r="L43" s="2386"/>
      <c r="M43" s="2387"/>
    </row>
    <row r="44" spans="1:13" ht="11.25" customHeight="1" x14ac:dyDescent="0.25">
      <c r="A44" s="1889" t="s">
        <v>2088</v>
      </c>
      <c r="B44" s="1812">
        <v>5</v>
      </c>
      <c r="C44" s="1813"/>
      <c r="D44" s="2395"/>
      <c r="E44" s="2373"/>
      <c r="F44" s="2373"/>
      <c r="G44" s="2393"/>
      <c r="H44" s="2386"/>
      <c r="I44" s="2394"/>
      <c r="J44" s="2271"/>
      <c r="K44" s="2385"/>
      <c r="L44" s="2386"/>
      <c r="M44" s="2387"/>
    </row>
    <row r="45" spans="1:13" ht="12.75" customHeight="1" x14ac:dyDescent="0.25">
      <c r="A45" s="1821" t="s">
        <v>303</v>
      </c>
      <c r="B45" s="1822"/>
      <c r="C45" s="1823"/>
      <c r="D45" s="1824">
        <v>0</v>
      </c>
      <c r="E45" s="1825">
        <v>0</v>
      </c>
      <c r="F45" s="1825">
        <v>0</v>
      </c>
      <c r="G45" s="1826">
        <v>0</v>
      </c>
      <c r="H45" s="1827">
        <v>0</v>
      </c>
      <c r="I45" s="1828">
        <v>0</v>
      </c>
      <c r="J45" s="1829">
        <v>0</v>
      </c>
      <c r="K45" s="1830">
        <v>0</v>
      </c>
      <c r="L45" s="1827">
        <v>0</v>
      </c>
      <c r="M45" s="1831">
        <v>0</v>
      </c>
    </row>
    <row r="46" spans="1:13" ht="11.25" customHeight="1" x14ac:dyDescent="0.25">
      <c r="A46" s="2435"/>
      <c r="B46" s="1893"/>
      <c r="C46" s="2366"/>
      <c r="D46" s="460"/>
      <c r="E46" s="460"/>
      <c r="F46" s="460"/>
      <c r="G46" s="2396"/>
      <c r="H46" s="2397"/>
      <c r="I46" s="2398"/>
      <c r="J46" s="2399"/>
      <c r="K46" s="2400"/>
      <c r="L46" s="2397"/>
      <c r="M46" s="2401"/>
    </row>
    <row r="47" spans="1:13" ht="11.25" customHeight="1" x14ac:dyDescent="0.25">
      <c r="A47" s="2439" t="s">
        <v>2089</v>
      </c>
      <c r="B47" s="1893">
        <v>6</v>
      </c>
      <c r="C47" s="2366"/>
      <c r="D47" s="460"/>
      <c r="E47" s="460"/>
      <c r="F47" s="460"/>
      <c r="G47" s="439"/>
      <c r="H47" s="437"/>
      <c r="I47" s="2402"/>
      <c r="J47" s="463"/>
      <c r="K47" s="447"/>
      <c r="L47" s="444"/>
      <c r="M47" s="445"/>
    </row>
    <row r="48" spans="1:13" ht="11.25" customHeight="1" x14ac:dyDescent="0.25">
      <c r="A48" s="2435" t="s">
        <v>1051</v>
      </c>
      <c r="B48" s="1893"/>
      <c r="C48" s="2366"/>
      <c r="D48" s="460"/>
      <c r="E48" s="460"/>
      <c r="F48" s="460"/>
      <c r="G48" s="2403"/>
      <c r="H48" s="2404"/>
      <c r="I48" s="2405"/>
      <c r="J48" s="2406"/>
      <c r="K48" s="2407"/>
      <c r="L48" s="2404"/>
      <c r="M48" s="2408"/>
    </row>
    <row r="49" spans="1:13" ht="11.25" customHeight="1" x14ac:dyDescent="0.25">
      <c r="A49" s="2435" t="s">
        <v>1125</v>
      </c>
      <c r="B49" s="1893"/>
      <c r="C49" s="2366"/>
      <c r="D49" s="460"/>
      <c r="E49" s="460"/>
      <c r="F49" s="460"/>
      <c r="G49" s="2403"/>
      <c r="H49" s="2404"/>
      <c r="I49" s="2405"/>
      <c r="J49" s="2406"/>
      <c r="K49" s="2407"/>
      <c r="L49" s="2404"/>
      <c r="M49" s="2408"/>
    </row>
    <row r="50" spans="1:13" ht="11.25" customHeight="1" x14ac:dyDescent="0.25">
      <c r="A50" s="2435" t="s">
        <v>1126</v>
      </c>
      <c r="B50" s="1893"/>
      <c r="C50" s="2366"/>
      <c r="D50" s="2409"/>
      <c r="E50" s="2409"/>
      <c r="F50" s="2409"/>
      <c r="G50" s="2403"/>
      <c r="H50" s="2404"/>
      <c r="I50" s="2405"/>
      <c r="J50" s="2406"/>
      <c r="K50" s="2407"/>
      <c r="L50" s="2404"/>
      <c r="M50" s="2408"/>
    </row>
    <row r="51" spans="1:13" ht="11.25" customHeight="1" x14ac:dyDescent="0.25">
      <c r="A51" s="2435" t="s">
        <v>1127</v>
      </c>
      <c r="B51" s="1893"/>
      <c r="C51" s="2366"/>
      <c r="D51" s="460"/>
      <c r="E51" s="460"/>
      <c r="F51" s="460"/>
      <c r="G51" s="2410"/>
      <c r="H51" s="2411"/>
      <c r="I51" s="2412"/>
      <c r="J51" s="2406"/>
      <c r="K51" s="2413"/>
      <c r="L51" s="2411"/>
      <c r="M51" s="2414"/>
    </row>
    <row r="52" spans="1:13" ht="11.25" customHeight="1" x14ac:dyDescent="0.25">
      <c r="A52" s="2435" t="s">
        <v>728</v>
      </c>
      <c r="B52" s="1893"/>
      <c r="C52" s="2366"/>
      <c r="D52" s="460"/>
      <c r="E52" s="460"/>
      <c r="F52" s="460"/>
      <c r="G52" s="2410"/>
      <c r="H52" s="2411"/>
      <c r="I52" s="2412"/>
      <c r="J52" s="2406"/>
      <c r="K52" s="2413"/>
      <c r="L52" s="2411"/>
      <c r="M52" s="2414"/>
    </row>
    <row r="53" spans="1:13" ht="12.75" customHeight="1" x14ac:dyDescent="0.25">
      <c r="A53" s="2435" t="s">
        <v>729</v>
      </c>
      <c r="B53" s="1893"/>
      <c r="C53" s="2366"/>
      <c r="D53" s="460"/>
      <c r="E53" s="460"/>
      <c r="F53" s="460"/>
      <c r="G53" s="2410"/>
      <c r="H53" s="2411"/>
      <c r="I53" s="2412"/>
      <c r="J53" s="2406"/>
      <c r="K53" s="2413"/>
      <c r="L53" s="2411"/>
      <c r="M53" s="2414"/>
    </row>
    <row r="54" spans="1:13" ht="11.25" customHeight="1" x14ac:dyDescent="0.25">
      <c r="A54" s="2440"/>
      <c r="B54" s="1893"/>
      <c r="C54" s="2366"/>
      <c r="D54" s="460"/>
      <c r="E54" s="460"/>
      <c r="F54" s="460"/>
      <c r="G54" s="439"/>
      <c r="H54" s="437"/>
      <c r="I54" s="2402"/>
      <c r="J54" s="400"/>
      <c r="K54" s="440"/>
      <c r="L54" s="437"/>
      <c r="M54" s="438"/>
    </row>
    <row r="55" spans="1:13" ht="11.25" customHeight="1" x14ac:dyDescent="0.25">
      <c r="A55" s="2439" t="s">
        <v>2090</v>
      </c>
      <c r="B55" s="1893">
        <v>7</v>
      </c>
      <c r="C55" s="2366"/>
      <c r="D55" s="460"/>
      <c r="E55" s="460"/>
      <c r="F55" s="460"/>
      <c r="G55" s="439"/>
      <c r="H55" s="437"/>
      <c r="I55" s="2402"/>
      <c r="J55" s="400"/>
      <c r="K55" s="440"/>
      <c r="L55" s="437"/>
      <c r="M55" s="438"/>
    </row>
    <row r="56" spans="1:13" ht="11.25" customHeight="1" x14ac:dyDescent="0.25">
      <c r="A56" s="2435" t="s">
        <v>1128</v>
      </c>
      <c r="B56" s="1893"/>
      <c r="C56" s="2366"/>
      <c r="D56" s="460"/>
      <c r="E56" s="460"/>
      <c r="F56" s="460"/>
      <c r="G56" s="2403"/>
      <c r="H56" s="2404"/>
      <c r="I56" s="2405"/>
      <c r="J56" s="2406"/>
      <c r="K56" s="2407"/>
      <c r="L56" s="2404"/>
      <c r="M56" s="2408"/>
    </row>
    <row r="57" spans="1:13" ht="11.25" customHeight="1" x14ac:dyDescent="0.25">
      <c r="A57" s="2435" t="s">
        <v>1129</v>
      </c>
      <c r="B57" s="1893"/>
      <c r="C57" s="2366"/>
      <c r="D57" s="460"/>
      <c r="E57" s="460"/>
      <c r="F57" s="460"/>
      <c r="G57" s="2403"/>
      <c r="H57" s="2404"/>
      <c r="I57" s="2405"/>
      <c r="J57" s="2406"/>
      <c r="K57" s="2407"/>
      <c r="L57" s="2404"/>
      <c r="M57" s="2408"/>
    </row>
    <row r="58" spans="1:13" ht="11.25" customHeight="1" x14ac:dyDescent="0.25">
      <c r="A58" s="2435" t="s">
        <v>584</v>
      </c>
      <c r="B58" s="1893"/>
      <c r="C58" s="2366"/>
      <c r="D58" s="460"/>
      <c r="E58" s="460"/>
      <c r="F58" s="460"/>
      <c r="G58" s="2403"/>
      <c r="H58" s="2404"/>
      <c r="I58" s="2405"/>
      <c r="J58" s="2406"/>
      <c r="K58" s="2407"/>
      <c r="L58" s="2404"/>
      <c r="M58" s="2408"/>
    </row>
    <row r="59" spans="1:13" ht="11.25" customHeight="1" x14ac:dyDescent="0.25">
      <c r="A59" s="2435" t="s">
        <v>585</v>
      </c>
      <c r="B59" s="1893"/>
      <c r="C59" s="2366"/>
      <c r="D59" s="460"/>
      <c r="E59" s="460"/>
      <c r="F59" s="460"/>
      <c r="G59" s="2403"/>
      <c r="H59" s="2404"/>
      <c r="I59" s="2405"/>
      <c r="J59" s="2406"/>
      <c r="K59" s="2407"/>
      <c r="L59" s="2404"/>
      <c r="M59" s="2408"/>
    </row>
    <row r="60" spans="1:13" ht="13.5" customHeight="1" x14ac:dyDescent="0.25">
      <c r="A60" s="2435" t="s">
        <v>586</v>
      </c>
      <c r="B60" s="1893"/>
      <c r="C60" s="2366"/>
      <c r="D60" s="460"/>
      <c r="E60" s="460"/>
      <c r="F60" s="460"/>
      <c r="G60" s="2403"/>
      <c r="H60" s="2404"/>
      <c r="I60" s="2405"/>
      <c r="J60" s="2406"/>
      <c r="K60" s="2407"/>
      <c r="L60" s="2404"/>
      <c r="M60" s="2408"/>
    </row>
    <row r="61" spans="1:13" s="625" customFormat="1" ht="3.75" customHeight="1" x14ac:dyDescent="0.25">
      <c r="A61" s="2441"/>
      <c r="B61" s="1832"/>
      <c r="C61" s="2415"/>
      <c r="D61" s="2416"/>
      <c r="E61" s="2416"/>
      <c r="F61" s="2416"/>
      <c r="G61" s="2417"/>
      <c r="H61" s="466"/>
      <c r="I61" s="2418"/>
      <c r="J61" s="464"/>
      <c r="K61" s="465"/>
      <c r="L61" s="466"/>
      <c r="M61" s="467"/>
    </row>
    <row r="62" spans="1:13" s="625" customFormat="1" ht="18.75" customHeight="1" x14ac:dyDescent="0.3">
      <c r="A62" s="2442" t="s">
        <v>2091</v>
      </c>
      <c r="B62" s="242"/>
      <c r="C62" s="338"/>
      <c r="D62" s="338"/>
      <c r="E62" s="338"/>
      <c r="F62" s="338"/>
      <c r="G62" s="331"/>
      <c r="H62" s="331"/>
      <c r="I62" s="331"/>
      <c r="J62" s="331"/>
      <c r="K62" s="331"/>
      <c r="L62" s="331"/>
      <c r="M62" s="331"/>
    </row>
    <row r="63" spans="1:13" s="625" customFormat="1" ht="24.95" customHeight="1" x14ac:dyDescent="0.25">
      <c r="A63" s="2741" t="s">
        <v>2092</v>
      </c>
      <c r="B63" s="1833"/>
      <c r="C63" s="2419"/>
      <c r="D63" s="2420"/>
      <c r="E63" s="1834" t="s">
        <v>2478</v>
      </c>
      <c r="F63" s="896" t="s">
        <v>2479</v>
      </c>
      <c r="G63" s="1998" t="s">
        <v>2480</v>
      </c>
      <c r="H63" s="2708" t="s">
        <v>2481</v>
      </c>
      <c r="I63" s="2709"/>
      <c r="J63" s="2710"/>
      <c r="K63" s="2708" t="s">
        <v>2482</v>
      </c>
      <c r="L63" s="2709"/>
      <c r="M63" s="2710"/>
    </row>
    <row r="64" spans="1:13" s="625" customFormat="1" ht="24.95" customHeight="1" x14ac:dyDescent="0.25">
      <c r="A64" s="2741"/>
      <c r="B64" s="1835" t="s">
        <v>2006</v>
      </c>
      <c r="C64" s="2421"/>
      <c r="D64" s="2422"/>
      <c r="E64" s="1836" t="s">
        <v>319</v>
      </c>
      <c r="F64" s="1837" t="s">
        <v>319</v>
      </c>
      <c r="G64" s="1838" t="s">
        <v>319</v>
      </c>
      <c r="H64" s="1839" t="s">
        <v>467</v>
      </c>
      <c r="I64" s="1837" t="s">
        <v>1807</v>
      </c>
      <c r="J64" s="1838" t="s">
        <v>1808</v>
      </c>
      <c r="K64" s="1839" t="s">
        <v>2483</v>
      </c>
      <c r="L64" s="1837" t="s">
        <v>2484</v>
      </c>
      <c r="M64" s="1838" t="s">
        <v>2485</v>
      </c>
    </row>
    <row r="65" spans="1:13" s="625" customFormat="1" ht="11.25" customHeight="1" x14ac:dyDescent="0.25">
      <c r="A65" s="338"/>
      <c r="B65" s="1840"/>
      <c r="C65" s="2423" t="s">
        <v>201</v>
      </c>
      <c r="D65" s="1864"/>
      <c r="E65" s="2424"/>
      <c r="F65" s="1841"/>
      <c r="G65" s="1842"/>
      <c r="H65" s="1843"/>
      <c r="I65" s="1844"/>
      <c r="J65" s="1845"/>
      <c r="K65" s="1846"/>
      <c r="L65" s="1844"/>
      <c r="M65" s="1847"/>
    </row>
    <row r="66" spans="1:13" s="625" customFormat="1" ht="11.25" customHeight="1" x14ac:dyDescent="0.25">
      <c r="A66" s="338"/>
      <c r="B66" s="1840"/>
      <c r="C66" s="2425" t="s">
        <v>1869</v>
      </c>
      <c r="D66" s="1865"/>
      <c r="E66" s="907"/>
      <c r="F66" s="903"/>
      <c r="G66" s="906"/>
      <c r="H66" s="854"/>
      <c r="I66" s="852"/>
      <c r="J66" s="855"/>
      <c r="K66" s="856"/>
      <c r="L66" s="852"/>
      <c r="M66" s="853"/>
    </row>
    <row r="67" spans="1:13" ht="11.25" customHeight="1" x14ac:dyDescent="0.25">
      <c r="B67" s="1840"/>
      <c r="C67" s="2426" t="s">
        <v>1656</v>
      </c>
      <c r="D67" s="1865"/>
      <c r="E67" s="2168"/>
      <c r="F67" s="2165"/>
      <c r="G67" s="2166"/>
      <c r="H67" s="2167"/>
      <c r="I67" s="2165"/>
      <c r="J67" s="1776"/>
      <c r="K67" s="2168"/>
      <c r="L67" s="2165"/>
      <c r="M67" s="2166"/>
    </row>
    <row r="68" spans="1:13" ht="11.25" customHeight="1" x14ac:dyDescent="0.25">
      <c r="B68" s="1840"/>
      <c r="C68" s="2426" t="s">
        <v>1868</v>
      </c>
      <c r="D68" s="1865"/>
      <c r="E68" s="2168"/>
      <c r="F68" s="2165"/>
      <c r="G68" s="2166"/>
      <c r="H68" s="2167"/>
      <c r="I68" s="2165"/>
      <c r="J68" s="1776"/>
      <c r="K68" s="2168"/>
      <c r="L68" s="2165"/>
      <c r="M68" s="2166"/>
    </row>
    <row r="69" spans="1:13" ht="11.25" customHeight="1" x14ac:dyDescent="0.25">
      <c r="B69" s="1848">
        <v>8</v>
      </c>
      <c r="C69" s="2426" t="s">
        <v>131</v>
      </c>
      <c r="D69" s="1865"/>
      <c r="E69" s="2168"/>
      <c r="F69" s="2165"/>
      <c r="G69" s="2166"/>
      <c r="H69" s="2167"/>
      <c r="I69" s="2165"/>
      <c r="J69" s="1776"/>
      <c r="K69" s="2168"/>
      <c r="L69" s="2165"/>
      <c r="M69" s="2166"/>
    </row>
    <row r="70" spans="1:13" ht="11.25" customHeight="1" x14ac:dyDescent="0.25">
      <c r="B70" s="1848">
        <v>10</v>
      </c>
      <c r="C70" s="2426" t="s">
        <v>132</v>
      </c>
      <c r="D70" s="1865"/>
      <c r="E70" s="2168"/>
      <c r="F70" s="2165"/>
      <c r="G70" s="2166"/>
      <c r="H70" s="2167"/>
      <c r="I70" s="2165"/>
      <c r="J70" s="1776"/>
      <c r="K70" s="2168"/>
      <c r="L70" s="2165"/>
      <c r="M70" s="2166"/>
    </row>
    <row r="71" spans="1:13" ht="11.25" customHeight="1" x14ac:dyDescent="0.25">
      <c r="B71" s="1848"/>
      <c r="C71" s="2427" t="s">
        <v>378</v>
      </c>
      <c r="D71" s="1865"/>
      <c r="E71" s="1945">
        <v>0</v>
      </c>
      <c r="F71" s="1941">
        <v>0</v>
      </c>
      <c r="G71" s="1942">
        <v>0</v>
      </c>
      <c r="H71" s="1943">
        <v>0</v>
      </c>
      <c r="I71" s="1941">
        <v>0</v>
      </c>
      <c r="J71" s="1944">
        <v>0</v>
      </c>
      <c r="K71" s="1945">
        <v>0</v>
      </c>
      <c r="L71" s="1941">
        <v>0</v>
      </c>
      <c r="M71" s="1942">
        <v>0</v>
      </c>
    </row>
    <row r="72" spans="1:13" ht="11.25" customHeight="1" x14ac:dyDescent="0.25">
      <c r="B72" s="1848">
        <v>9</v>
      </c>
      <c r="C72" s="2426" t="s">
        <v>507</v>
      </c>
      <c r="D72" s="1865"/>
      <c r="E72" s="2168"/>
      <c r="F72" s="2165"/>
      <c r="G72" s="2166"/>
      <c r="H72" s="2167"/>
      <c r="I72" s="2165"/>
      <c r="J72" s="1776"/>
      <c r="K72" s="2168"/>
      <c r="L72" s="2165"/>
      <c r="M72" s="2166"/>
    </row>
    <row r="73" spans="1:13" ht="11.25" customHeight="1" x14ac:dyDescent="0.25">
      <c r="B73" s="1848">
        <v>10</v>
      </c>
      <c r="C73" s="2426" t="s">
        <v>508</v>
      </c>
      <c r="D73" s="1865"/>
      <c r="E73" s="2168"/>
      <c r="F73" s="2165"/>
      <c r="G73" s="2166"/>
      <c r="H73" s="2167"/>
      <c r="I73" s="2165"/>
      <c r="J73" s="1776"/>
      <c r="K73" s="2168"/>
      <c r="L73" s="2165"/>
      <c r="M73" s="2166"/>
    </row>
    <row r="74" spans="1:13" ht="11.25" customHeight="1" x14ac:dyDescent="0.25">
      <c r="B74" s="1840"/>
      <c r="C74" s="2426" t="s">
        <v>976</v>
      </c>
      <c r="D74" s="1865"/>
      <c r="E74" s="2168"/>
      <c r="F74" s="2165"/>
      <c r="G74" s="2166"/>
      <c r="H74" s="2167"/>
      <c r="I74" s="2165"/>
      <c r="J74" s="1776"/>
      <c r="K74" s="2168"/>
      <c r="L74" s="2165"/>
      <c r="M74" s="2166"/>
    </row>
    <row r="75" spans="1:13" ht="11.25" customHeight="1" x14ac:dyDescent="0.25">
      <c r="B75" s="1840"/>
      <c r="C75" s="2427" t="s">
        <v>1298</v>
      </c>
      <c r="D75" s="1865"/>
      <c r="E75" s="1950">
        <v>0</v>
      </c>
      <c r="F75" s="1946">
        <v>0</v>
      </c>
      <c r="G75" s="1947">
        <v>0</v>
      </c>
      <c r="H75" s="1948">
        <v>0</v>
      </c>
      <c r="I75" s="1946">
        <v>0</v>
      </c>
      <c r="J75" s="1949">
        <v>0</v>
      </c>
      <c r="K75" s="1950">
        <v>0</v>
      </c>
      <c r="L75" s="1946">
        <v>0</v>
      </c>
      <c r="M75" s="1947">
        <v>0</v>
      </c>
    </row>
    <row r="76" spans="1:13" ht="11.25" customHeight="1" x14ac:dyDescent="0.25">
      <c r="B76" s="1840"/>
      <c r="C76" s="2428" t="s">
        <v>1336</v>
      </c>
      <c r="D76" s="1865"/>
      <c r="E76" s="1955">
        <v>0</v>
      </c>
      <c r="F76" s="1951">
        <v>0</v>
      </c>
      <c r="G76" s="1952">
        <v>0</v>
      </c>
      <c r="H76" s="1953">
        <v>0</v>
      </c>
      <c r="I76" s="1951">
        <v>0</v>
      </c>
      <c r="J76" s="1954">
        <v>0</v>
      </c>
      <c r="K76" s="1955">
        <v>0</v>
      </c>
      <c r="L76" s="1951">
        <v>0</v>
      </c>
      <c r="M76" s="1952">
        <v>0</v>
      </c>
    </row>
    <row r="77" spans="1:13" ht="11.25" customHeight="1" x14ac:dyDescent="0.25">
      <c r="B77" s="1840"/>
      <c r="C77" s="2425" t="s">
        <v>1337</v>
      </c>
      <c r="D77" s="1865"/>
      <c r="E77" s="1960"/>
      <c r="F77" s="1956"/>
      <c r="G77" s="1959"/>
      <c r="H77" s="1958"/>
      <c r="I77" s="1956"/>
      <c r="J77" s="1959"/>
      <c r="K77" s="1960"/>
      <c r="L77" s="1956"/>
      <c r="M77" s="1957"/>
    </row>
    <row r="78" spans="1:13" ht="11.25" customHeight="1" x14ac:dyDescent="0.25">
      <c r="B78" s="1840"/>
      <c r="C78" s="2426" t="s">
        <v>1338</v>
      </c>
      <c r="D78" s="1865"/>
      <c r="E78" s="2168"/>
      <c r="F78" s="2165"/>
      <c r="G78" s="2166"/>
      <c r="H78" s="2167"/>
      <c r="I78" s="2165"/>
      <c r="J78" s="1776"/>
      <c r="K78" s="2168"/>
      <c r="L78" s="2165"/>
      <c r="M78" s="2166"/>
    </row>
    <row r="79" spans="1:13" ht="11.25" customHeight="1" x14ac:dyDescent="0.25">
      <c r="B79" s="1840"/>
      <c r="C79" s="2426" t="s">
        <v>1339</v>
      </c>
      <c r="D79" s="1865"/>
      <c r="E79" s="2168"/>
      <c r="F79" s="2165"/>
      <c r="G79" s="2166"/>
      <c r="H79" s="2167"/>
      <c r="I79" s="2165"/>
      <c r="J79" s="1776"/>
      <c r="K79" s="2168"/>
      <c r="L79" s="2165"/>
      <c r="M79" s="2166"/>
    </row>
    <row r="80" spans="1:13" ht="11.25" customHeight="1" x14ac:dyDescent="0.25">
      <c r="B80" s="1840"/>
      <c r="C80" s="2426" t="s">
        <v>1411</v>
      </c>
      <c r="D80" s="1865"/>
      <c r="E80" s="2168"/>
      <c r="F80" s="2165"/>
      <c r="G80" s="2166"/>
      <c r="H80" s="2167"/>
      <c r="I80" s="2165"/>
      <c r="J80" s="1776"/>
      <c r="K80" s="2168"/>
      <c r="L80" s="2165"/>
      <c r="M80" s="2166"/>
    </row>
    <row r="81" spans="2:13" ht="11.25" customHeight="1" x14ac:dyDescent="0.25">
      <c r="B81" s="1840"/>
      <c r="C81" s="2426" t="s">
        <v>242</v>
      </c>
      <c r="D81" s="1865"/>
      <c r="E81" s="2168"/>
      <c r="F81" s="2165"/>
      <c r="G81" s="2166"/>
      <c r="H81" s="2167"/>
      <c r="I81" s="2165"/>
      <c r="J81" s="1776"/>
      <c r="K81" s="2168"/>
      <c r="L81" s="2165"/>
      <c r="M81" s="2166"/>
    </row>
    <row r="82" spans="2:13" ht="11.25" customHeight="1" x14ac:dyDescent="0.25">
      <c r="B82" s="1840"/>
      <c r="C82" s="2426" t="s">
        <v>244</v>
      </c>
      <c r="D82" s="1865"/>
      <c r="E82" s="2168"/>
      <c r="F82" s="2165"/>
      <c r="G82" s="2166"/>
      <c r="H82" s="2167"/>
      <c r="I82" s="2165"/>
      <c r="J82" s="1776"/>
      <c r="K82" s="2168"/>
      <c r="L82" s="2165"/>
      <c r="M82" s="2166"/>
    </row>
    <row r="83" spans="2:13" ht="11.25" customHeight="1" x14ac:dyDescent="0.25">
      <c r="B83" s="1840"/>
      <c r="C83" s="2427" t="s">
        <v>378</v>
      </c>
      <c r="D83" s="1865"/>
      <c r="E83" s="1945">
        <v>0</v>
      </c>
      <c r="F83" s="1941">
        <v>0</v>
      </c>
      <c r="G83" s="1942">
        <v>0</v>
      </c>
      <c r="H83" s="1943">
        <v>0</v>
      </c>
      <c r="I83" s="1941">
        <v>0</v>
      </c>
      <c r="J83" s="1944">
        <v>0</v>
      </c>
      <c r="K83" s="1945">
        <v>0</v>
      </c>
      <c r="L83" s="1941">
        <v>0</v>
      </c>
      <c r="M83" s="1942">
        <v>0</v>
      </c>
    </row>
    <row r="84" spans="2:13" ht="11.25" customHeight="1" x14ac:dyDescent="0.25">
      <c r="B84" s="1840"/>
      <c r="C84" s="2426" t="s">
        <v>243</v>
      </c>
      <c r="D84" s="1865"/>
      <c r="E84" s="2168"/>
      <c r="F84" s="2165"/>
      <c r="G84" s="2166"/>
      <c r="H84" s="2167"/>
      <c r="I84" s="2165"/>
      <c r="J84" s="1776"/>
      <c r="K84" s="2168"/>
      <c r="L84" s="2165"/>
      <c r="M84" s="2166"/>
    </row>
    <row r="85" spans="2:13" ht="11.25" customHeight="1" x14ac:dyDescent="0.25">
      <c r="B85" s="1840"/>
      <c r="C85" s="2426" t="s">
        <v>1241</v>
      </c>
      <c r="D85" s="1865"/>
      <c r="E85" s="2168"/>
      <c r="F85" s="2165"/>
      <c r="G85" s="2166"/>
      <c r="H85" s="2167"/>
      <c r="I85" s="2165"/>
      <c r="J85" s="1776"/>
      <c r="K85" s="2168"/>
      <c r="L85" s="2165"/>
      <c r="M85" s="2166"/>
    </row>
    <row r="86" spans="2:13" ht="11.25" customHeight="1" x14ac:dyDescent="0.25">
      <c r="B86" s="1840"/>
      <c r="C86" s="2426" t="s">
        <v>1413</v>
      </c>
      <c r="D86" s="1865"/>
      <c r="E86" s="2168"/>
      <c r="F86" s="2165"/>
      <c r="G86" s="2166"/>
      <c r="H86" s="2167"/>
      <c r="I86" s="2165"/>
      <c r="J86" s="1776"/>
      <c r="K86" s="2168"/>
      <c r="L86" s="2165"/>
      <c r="M86" s="2166"/>
    </row>
    <row r="87" spans="2:13" ht="11.25" customHeight="1" x14ac:dyDescent="0.25">
      <c r="B87" s="1840"/>
      <c r="C87" s="2427" t="s">
        <v>1298</v>
      </c>
      <c r="D87" s="1865"/>
      <c r="E87" s="1950">
        <v>0</v>
      </c>
      <c r="F87" s="1946">
        <v>0</v>
      </c>
      <c r="G87" s="1947">
        <v>0</v>
      </c>
      <c r="H87" s="1948">
        <v>0</v>
      </c>
      <c r="I87" s="1946">
        <v>0</v>
      </c>
      <c r="J87" s="1949">
        <v>0</v>
      </c>
      <c r="K87" s="1950">
        <v>0</v>
      </c>
      <c r="L87" s="1946">
        <v>0</v>
      </c>
      <c r="M87" s="1947">
        <v>0</v>
      </c>
    </row>
    <row r="88" spans="2:13" ht="11.25" customHeight="1" x14ac:dyDescent="0.25">
      <c r="B88" s="1840"/>
      <c r="C88" s="2428" t="s">
        <v>1336</v>
      </c>
      <c r="D88" s="1865"/>
      <c r="E88" s="1955">
        <v>0</v>
      </c>
      <c r="F88" s="1951">
        <v>0</v>
      </c>
      <c r="G88" s="1952">
        <v>0</v>
      </c>
      <c r="H88" s="1953">
        <v>0</v>
      </c>
      <c r="I88" s="1951">
        <v>0</v>
      </c>
      <c r="J88" s="1954">
        <v>0</v>
      </c>
      <c r="K88" s="1955">
        <v>0</v>
      </c>
      <c r="L88" s="1951">
        <v>0</v>
      </c>
      <c r="M88" s="1952">
        <v>0</v>
      </c>
    </row>
    <row r="89" spans="2:13" ht="11.25" customHeight="1" x14ac:dyDescent="0.25">
      <c r="B89" s="1840"/>
      <c r="C89" s="2425" t="s">
        <v>689</v>
      </c>
      <c r="D89" s="1865"/>
      <c r="E89" s="1960"/>
      <c r="F89" s="1956"/>
      <c r="G89" s="1959"/>
      <c r="H89" s="1958"/>
      <c r="I89" s="1956"/>
      <c r="J89" s="1959"/>
      <c r="K89" s="1960"/>
      <c r="L89" s="1956"/>
      <c r="M89" s="1957"/>
    </row>
    <row r="90" spans="2:13" ht="11.25" customHeight="1" x14ac:dyDescent="0.25">
      <c r="B90" s="1840"/>
      <c r="C90" s="2426" t="s">
        <v>1242</v>
      </c>
      <c r="D90" s="1865"/>
      <c r="E90" s="2168"/>
      <c r="F90" s="2165"/>
      <c r="G90" s="2166"/>
      <c r="H90" s="2167"/>
      <c r="I90" s="2165"/>
      <c r="J90" s="1776"/>
      <c r="K90" s="2168"/>
      <c r="L90" s="2165"/>
      <c r="M90" s="2166"/>
    </row>
    <row r="91" spans="2:13" ht="11.25" customHeight="1" x14ac:dyDescent="0.25">
      <c r="B91" s="1840"/>
      <c r="C91" s="2426" t="s">
        <v>509</v>
      </c>
      <c r="D91" s="1865"/>
      <c r="E91" s="2168"/>
      <c r="F91" s="2165"/>
      <c r="G91" s="2166"/>
      <c r="H91" s="2167"/>
      <c r="I91" s="2165"/>
      <c r="J91" s="1776"/>
      <c r="K91" s="2168"/>
      <c r="L91" s="2165"/>
      <c r="M91" s="2166"/>
    </row>
    <row r="92" spans="2:13" ht="11.25" customHeight="1" x14ac:dyDescent="0.25">
      <c r="B92" s="1840"/>
      <c r="C92" s="2427" t="s">
        <v>378</v>
      </c>
      <c r="D92" s="1865"/>
      <c r="E92" s="1945">
        <v>0</v>
      </c>
      <c r="F92" s="1941">
        <v>0</v>
      </c>
      <c r="G92" s="1942">
        <v>0</v>
      </c>
      <c r="H92" s="1943">
        <v>0</v>
      </c>
      <c r="I92" s="1941">
        <v>0</v>
      </c>
      <c r="J92" s="1944">
        <v>0</v>
      </c>
      <c r="K92" s="1945">
        <v>0</v>
      </c>
      <c r="L92" s="1941">
        <v>0</v>
      </c>
      <c r="M92" s="1942">
        <v>0</v>
      </c>
    </row>
    <row r="93" spans="2:13" ht="11.25" customHeight="1" x14ac:dyDescent="0.25">
      <c r="B93" s="1840"/>
      <c r="C93" s="2426" t="s">
        <v>510</v>
      </c>
      <c r="D93" s="1865"/>
      <c r="E93" s="2168"/>
      <c r="F93" s="2165"/>
      <c r="G93" s="2166"/>
      <c r="H93" s="2167"/>
      <c r="I93" s="2165"/>
      <c r="J93" s="1776"/>
      <c r="K93" s="2168"/>
      <c r="L93" s="2165"/>
      <c r="M93" s="2166"/>
    </row>
    <row r="94" spans="2:13" ht="11.25" customHeight="1" x14ac:dyDescent="0.25">
      <c r="B94" s="1840"/>
      <c r="C94" s="2426" t="s">
        <v>511</v>
      </c>
      <c r="D94" s="1865"/>
      <c r="E94" s="2168"/>
      <c r="F94" s="2165"/>
      <c r="G94" s="2166"/>
      <c r="H94" s="2167"/>
      <c r="I94" s="2165"/>
      <c r="J94" s="1776"/>
      <c r="K94" s="2168"/>
      <c r="L94" s="2165"/>
      <c r="M94" s="2166"/>
    </row>
    <row r="95" spans="2:13" ht="11.25" customHeight="1" x14ac:dyDescent="0.25">
      <c r="B95" s="1840"/>
      <c r="C95" s="2426" t="s">
        <v>690</v>
      </c>
      <c r="D95" s="1865"/>
      <c r="E95" s="2168"/>
      <c r="F95" s="2165"/>
      <c r="G95" s="2166"/>
      <c r="H95" s="2167"/>
      <c r="I95" s="2165"/>
      <c r="J95" s="1776"/>
      <c r="K95" s="2168"/>
      <c r="L95" s="2165"/>
      <c r="M95" s="2166"/>
    </row>
    <row r="96" spans="2:13" ht="11.25" customHeight="1" x14ac:dyDescent="0.25">
      <c r="B96" s="1840"/>
      <c r="C96" s="2427" t="s">
        <v>1298</v>
      </c>
      <c r="D96" s="1865"/>
      <c r="E96" s="1950">
        <v>0</v>
      </c>
      <c r="F96" s="1946">
        <v>0</v>
      </c>
      <c r="G96" s="1947">
        <v>0</v>
      </c>
      <c r="H96" s="1948">
        <v>0</v>
      </c>
      <c r="I96" s="1946">
        <v>0</v>
      </c>
      <c r="J96" s="1949">
        <v>0</v>
      </c>
      <c r="K96" s="1950">
        <v>0</v>
      </c>
      <c r="L96" s="1946">
        <v>0</v>
      </c>
      <c r="M96" s="1947">
        <v>0</v>
      </c>
    </row>
    <row r="97" spans="1:13" ht="11.25" customHeight="1" x14ac:dyDescent="0.25">
      <c r="B97" s="1840"/>
      <c r="C97" s="2428" t="s">
        <v>1336</v>
      </c>
      <c r="D97" s="1865"/>
      <c r="E97" s="1955">
        <v>0</v>
      </c>
      <c r="F97" s="1951">
        <v>0</v>
      </c>
      <c r="G97" s="1952">
        <v>0</v>
      </c>
      <c r="H97" s="1953">
        <v>0</v>
      </c>
      <c r="I97" s="1951">
        <v>0</v>
      </c>
      <c r="J97" s="1954">
        <v>0</v>
      </c>
      <c r="K97" s="1955">
        <v>0</v>
      </c>
      <c r="L97" s="1951">
        <v>0</v>
      </c>
      <c r="M97" s="1952">
        <v>0</v>
      </c>
    </row>
    <row r="98" spans="1:13" ht="11.25" customHeight="1" x14ac:dyDescent="0.25">
      <c r="B98" s="1840"/>
      <c r="C98" s="2425" t="s">
        <v>693</v>
      </c>
      <c r="D98" s="1865"/>
      <c r="E98" s="1960"/>
      <c r="F98" s="1956"/>
      <c r="G98" s="1959"/>
      <c r="H98" s="1958"/>
      <c r="I98" s="1956"/>
      <c r="J98" s="1959"/>
      <c r="K98" s="1960"/>
      <c r="L98" s="1956"/>
      <c r="M98" s="1957"/>
    </row>
    <row r="99" spans="1:13" ht="11.25" customHeight="1" x14ac:dyDescent="0.25">
      <c r="B99" s="1840"/>
      <c r="C99" s="2426" t="s">
        <v>745</v>
      </c>
      <c r="D99" s="1865"/>
      <c r="E99" s="2172"/>
      <c r="F99" s="2170"/>
      <c r="G99" s="2176"/>
      <c r="H99" s="2429"/>
      <c r="I99" s="2170"/>
      <c r="J99" s="2430"/>
      <c r="K99" s="2172"/>
      <c r="L99" s="2170"/>
      <c r="M99" s="2176"/>
    </row>
    <row r="100" spans="1:13" ht="11.25" customHeight="1" x14ac:dyDescent="0.25">
      <c r="B100" s="1840"/>
      <c r="C100" s="2427" t="s">
        <v>378</v>
      </c>
      <c r="D100" s="1865"/>
      <c r="E100" s="1960">
        <v>0</v>
      </c>
      <c r="F100" s="1956">
        <v>0</v>
      </c>
      <c r="G100" s="1957">
        <v>0</v>
      </c>
      <c r="H100" s="1958">
        <v>0</v>
      </c>
      <c r="I100" s="1956">
        <v>0</v>
      </c>
      <c r="J100" s="1959">
        <v>0</v>
      </c>
      <c r="K100" s="1960">
        <v>0</v>
      </c>
      <c r="L100" s="1956">
        <v>0</v>
      </c>
      <c r="M100" s="1957">
        <v>0</v>
      </c>
    </row>
    <row r="101" spans="1:13" ht="11.25" customHeight="1" x14ac:dyDescent="0.25">
      <c r="B101" s="1840"/>
      <c r="C101" s="2426" t="s">
        <v>694</v>
      </c>
      <c r="D101" s="1865"/>
      <c r="E101" s="2168"/>
      <c r="F101" s="2165"/>
      <c r="G101" s="2166"/>
      <c r="H101" s="2167"/>
      <c r="I101" s="2165"/>
      <c r="J101" s="1776"/>
      <c r="K101" s="2168"/>
      <c r="L101" s="2165"/>
      <c r="M101" s="2166"/>
    </row>
    <row r="102" spans="1:13" ht="11.25" customHeight="1" x14ac:dyDescent="0.25">
      <c r="B102" s="1840"/>
      <c r="C102" s="2426" t="s">
        <v>695</v>
      </c>
      <c r="D102" s="1865"/>
      <c r="E102" s="2168"/>
      <c r="F102" s="2165"/>
      <c r="G102" s="2166"/>
      <c r="H102" s="2167"/>
      <c r="I102" s="2165"/>
      <c r="J102" s="1776"/>
      <c r="K102" s="2168"/>
      <c r="L102" s="2165"/>
      <c r="M102" s="2166"/>
    </row>
    <row r="103" spans="1:13" ht="11.25" customHeight="1" x14ac:dyDescent="0.25">
      <c r="B103" s="1840"/>
      <c r="C103" s="2426" t="s">
        <v>885</v>
      </c>
      <c r="D103" s="1865"/>
      <c r="E103" s="2168"/>
      <c r="F103" s="2165"/>
      <c r="G103" s="2166"/>
      <c r="H103" s="2167"/>
      <c r="I103" s="2165"/>
      <c r="J103" s="1776"/>
      <c r="K103" s="2168"/>
      <c r="L103" s="2165"/>
      <c r="M103" s="2166"/>
    </row>
    <row r="104" spans="1:13" ht="11.25" customHeight="1" x14ac:dyDescent="0.25">
      <c r="B104" s="1840"/>
      <c r="C104" s="2426" t="s">
        <v>886</v>
      </c>
      <c r="D104" s="1865"/>
      <c r="E104" s="2168"/>
      <c r="F104" s="2165"/>
      <c r="G104" s="2166"/>
      <c r="H104" s="2167"/>
      <c r="I104" s="2165"/>
      <c r="J104" s="1776"/>
      <c r="K104" s="2168"/>
      <c r="L104" s="2165"/>
      <c r="M104" s="2166"/>
    </row>
    <row r="105" spans="1:13" ht="11.25" customHeight="1" x14ac:dyDescent="0.25">
      <c r="B105" s="1840"/>
      <c r="C105" s="2426" t="s">
        <v>199</v>
      </c>
      <c r="D105" s="1865"/>
      <c r="E105" s="2168"/>
      <c r="F105" s="2165"/>
      <c r="G105" s="2166"/>
      <c r="H105" s="2167"/>
      <c r="I105" s="2165"/>
      <c r="J105" s="1776"/>
      <c r="K105" s="2168"/>
      <c r="L105" s="2165"/>
      <c r="M105" s="2166"/>
    </row>
    <row r="106" spans="1:13" ht="11.25" customHeight="1" x14ac:dyDescent="0.25">
      <c r="B106" s="1840"/>
      <c r="C106" s="2427" t="s">
        <v>1298</v>
      </c>
      <c r="D106" s="1865"/>
      <c r="E106" s="1950">
        <v>0</v>
      </c>
      <c r="F106" s="1946">
        <v>0</v>
      </c>
      <c r="G106" s="1947">
        <v>0</v>
      </c>
      <c r="H106" s="1948">
        <v>0</v>
      </c>
      <c r="I106" s="1946">
        <v>0</v>
      </c>
      <c r="J106" s="1949">
        <v>0</v>
      </c>
      <c r="K106" s="1950">
        <v>0</v>
      </c>
      <c r="L106" s="1946">
        <v>0</v>
      </c>
      <c r="M106" s="1947">
        <v>0</v>
      </c>
    </row>
    <row r="107" spans="1:13" ht="11.25" customHeight="1" x14ac:dyDescent="0.25">
      <c r="B107" s="1840"/>
      <c r="C107" s="2428" t="s">
        <v>1336</v>
      </c>
      <c r="D107" s="1865"/>
      <c r="E107" s="1955">
        <v>0</v>
      </c>
      <c r="F107" s="1951">
        <v>0</v>
      </c>
      <c r="G107" s="1952">
        <v>0</v>
      </c>
      <c r="H107" s="1953">
        <v>0</v>
      </c>
      <c r="I107" s="1951">
        <v>0</v>
      </c>
      <c r="J107" s="1954">
        <v>0</v>
      </c>
      <c r="K107" s="1955">
        <v>0</v>
      </c>
      <c r="L107" s="1951">
        <v>0</v>
      </c>
      <c r="M107" s="1952">
        <v>0</v>
      </c>
    </row>
    <row r="108" spans="1:13" ht="5.0999999999999996" customHeight="1" x14ac:dyDescent="0.25">
      <c r="B108" s="1840"/>
      <c r="C108" s="2431"/>
      <c r="D108" s="1866"/>
      <c r="E108" s="919"/>
      <c r="F108" s="915"/>
      <c r="G108" s="916"/>
      <c r="H108" s="917"/>
      <c r="I108" s="915"/>
      <c r="J108" s="918"/>
      <c r="K108" s="919"/>
      <c r="L108" s="915"/>
      <c r="M108" s="916"/>
    </row>
    <row r="109" spans="1:13" ht="24.95" customHeight="1" x14ac:dyDescent="0.25">
      <c r="A109" s="2741" t="s">
        <v>2093</v>
      </c>
      <c r="B109" s="1833"/>
      <c r="C109" s="2419"/>
      <c r="D109" s="2420"/>
      <c r="E109" s="1834" t="s">
        <v>2478</v>
      </c>
      <c r="F109" s="896" t="s">
        <v>2479</v>
      </c>
      <c r="G109" s="1998" t="s">
        <v>2480</v>
      </c>
      <c r="H109" s="2708" t="s">
        <v>2481</v>
      </c>
      <c r="I109" s="2709"/>
      <c r="J109" s="2710"/>
      <c r="K109" s="2708" t="s">
        <v>2482</v>
      </c>
      <c r="L109" s="2709"/>
      <c r="M109" s="2710"/>
    </row>
    <row r="110" spans="1:13" ht="24.95" customHeight="1" x14ac:dyDescent="0.25">
      <c r="A110" s="2741"/>
      <c r="B110" s="1835" t="s">
        <v>2006</v>
      </c>
      <c r="C110" s="2421"/>
      <c r="D110" s="2422"/>
      <c r="E110" s="1836" t="s">
        <v>319</v>
      </c>
      <c r="F110" s="1837" t="s">
        <v>319</v>
      </c>
      <c r="G110" s="1838" t="s">
        <v>319</v>
      </c>
      <c r="H110" s="1839" t="s">
        <v>467</v>
      </c>
      <c r="I110" s="1837" t="s">
        <v>1807</v>
      </c>
      <c r="J110" s="1838" t="s">
        <v>1808</v>
      </c>
      <c r="K110" s="1839" t="s">
        <v>2483</v>
      </c>
      <c r="L110" s="1837" t="s">
        <v>2484</v>
      </c>
      <c r="M110" s="1838" t="s">
        <v>2485</v>
      </c>
    </row>
    <row r="111" spans="1:13" ht="11.25" customHeight="1" x14ac:dyDescent="0.25">
      <c r="B111" s="1840"/>
      <c r="C111" s="2423" t="s">
        <v>201</v>
      </c>
      <c r="D111" s="1865"/>
      <c r="E111" s="2424"/>
      <c r="F111" s="1841"/>
      <c r="G111" s="1842"/>
      <c r="H111" s="1843"/>
      <c r="I111" s="1844"/>
      <c r="J111" s="1845"/>
      <c r="K111" s="1846"/>
      <c r="L111" s="1844"/>
      <c r="M111" s="1847"/>
    </row>
    <row r="112" spans="1:13" ht="11.25" customHeight="1" x14ac:dyDescent="0.25">
      <c r="B112" s="1840"/>
      <c r="C112" s="2425" t="s">
        <v>1869</v>
      </c>
      <c r="D112" s="1865"/>
      <c r="E112" s="907"/>
      <c r="F112" s="903"/>
      <c r="G112" s="906"/>
      <c r="H112" s="854"/>
      <c r="I112" s="852"/>
      <c r="J112" s="855"/>
      <c r="K112" s="856"/>
      <c r="L112" s="852"/>
      <c r="M112" s="853"/>
    </row>
    <row r="113" spans="2:13" ht="11.25" customHeight="1" x14ac:dyDescent="0.25">
      <c r="B113" s="1840"/>
      <c r="C113" s="2426" t="s">
        <v>1656</v>
      </c>
      <c r="D113" s="1865"/>
      <c r="E113" s="2168"/>
      <c r="F113" s="2165"/>
      <c r="G113" s="2166"/>
      <c r="H113" s="2167"/>
      <c r="I113" s="2165"/>
      <c r="J113" s="1776"/>
      <c r="K113" s="2168"/>
      <c r="L113" s="2165"/>
      <c r="M113" s="2166"/>
    </row>
    <row r="114" spans="2:13" ht="11.25" customHeight="1" x14ac:dyDescent="0.25">
      <c r="B114" s="1840"/>
      <c r="C114" s="2426" t="s">
        <v>1868</v>
      </c>
      <c r="D114" s="1865"/>
      <c r="E114" s="2168"/>
      <c r="F114" s="2165"/>
      <c r="G114" s="2166"/>
      <c r="H114" s="2167"/>
      <c r="I114" s="2165"/>
      <c r="J114" s="1776"/>
      <c r="K114" s="2168"/>
      <c r="L114" s="2165"/>
      <c r="M114" s="2166"/>
    </row>
    <row r="115" spans="2:13" ht="11.25" customHeight="1" x14ac:dyDescent="0.25">
      <c r="B115" s="1848">
        <v>8</v>
      </c>
      <c r="C115" s="2426" t="s">
        <v>131</v>
      </c>
      <c r="D115" s="1865"/>
      <c r="E115" s="2168"/>
      <c r="F115" s="2165"/>
      <c r="G115" s="2166"/>
      <c r="H115" s="2167"/>
      <c r="I115" s="2165"/>
      <c r="J115" s="1776"/>
      <c r="K115" s="2168"/>
      <c r="L115" s="2165"/>
      <c r="M115" s="2166"/>
    </row>
    <row r="116" spans="2:13" ht="11.25" customHeight="1" x14ac:dyDescent="0.25">
      <c r="B116" s="1848">
        <v>10</v>
      </c>
      <c r="C116" s="2426" t="s">
        <v>132</v>
      </c>
      <c r="D116" s="1865"/>
      <c r="E116" s="2168"/>
      <c r="F116" s="2165"/>
      <c r="G116" s="2166"/>
      <c r="H116" s="2167"/>
      <c r="I116" s="2165"/>
      <c r="J116" s="1776"/>
      <c r="K116" s="2168"/>
      <c r="L116" s="2165"/>
      <c r="M116" s="2166"/>
    </row>
    <row r="117" spans="2:13" ht="11.25" customHeight="1" x14ac:dyDescent="0.25">
      <c r="B117" s="1848"/>
      <c r="C117" s="2427" t="s">
        <v>378</v>
      </c>
      <c r="D117" s="1865"/>
      <c r="E117" s="1945">
        <v>0</v>
      </c>
      <c r="F117" s="1941">
        <v>0</v>
      </c>
      <c r="G117" s="1942">
        <v>0</v>
      </c>
      <c r="H117" s="1943">
        <v>0</v>
      </c>
      <c r="I117" s="1941">
        <v>0</v>
      </c>
      <c r="J117" s="1944">
        <v>0</v>
      </c>
      <c r="K117" s="1945">
        <v>0</v>
      </c>
      <c r="L117" s="1941">
        <v>0</v>
      </c>
      <c r="M117" s="1942">
        <v>0</v>
      </c>
    </row>
    <row r="118" spans="2:13" ht="11.25" customHeight="1" x14ac:dyDescent="0.25">
      <c r="B118" s="1848">
        <v>9</v>
      </c>
      <c r="C118" s="2426" t="s">
        <v>507</v>
      </c>
      <c r="D118" s="1865"/>
      <c r="E118" s="2168"/>
      <c r="F118" s="2165"/>
      <c r="G118" s="2166"/>
      <c r="H118" s="2167"/>
      <c r="I118" s="2165"/>
      <c r="J118" s="1776"/>
      <c r="K118" s="2168"/>
      <c r="L118" s="2165"/>
      <c r="M118" s="2166"/>
    </row>
    <row r="119" spans="2:13" ht="11.25" customHeight="1" x14ac:dyDescent="0.25">
      <c r="B119" s="1848">
        <v>10</v>
      </c>
      <c r="C119" s="2426" t="s">
        <v>508</v>
      </c>
      <c r="D119" s="1865"/>
      <c r="E119" s="2168"/>
      <c r="F119" s="2165"/>
      <c r="G119" s="2166"/>
      <c r="H119" s="2167"/>
      <c r="I119" s="2165"/>
      <c r="J119" s="1776"/>
      <c r="K119" s="2168"/>
      <c r="L119" s="2165"/>
      <c r="M119" s="2166"/>
    </row>
    <row r="120" spans="2:13" ht="11.25" customHeight="1" x14ac:dyDescent="0.25">
      <c r="B120" s="1840"/>
      <c r="C120" s="2426" t="s">
        <v>976</v>
      </c>
      <c r="D120" s="1865"/>
      <c r="E120" s="2168"/>
      <c r="F120" s="2165"/>
      <c r="G120" s="2166"/>
      <c r="H120" s="2167"/>
      <c r="I120" s="2165"/>
      <c r="J120" s="1776"/>
      <c r="K120" s="2168"/>
      <c r="L120" s="2165"/>
      <c r="M120" s="2166"/>
    </row>
    <row r="121" spans="2:13" ht="11.25" customHeight="1" x14ac:dyDescent="0.25">
      <c r="B121" s="1840"/>
      <c r="C121" s="2427" t="s">
        <v>1298</v>
      </c>
      <c r="D121" s="1865"/>
      <c r="E121" s="1950">
        <v>0</v>
      </c>
      <c r="F121" s="1946">
        <v>0</v>
      </c>
      <c r="G121" s="1947">
        <v>0</v>
      </c>
      <c r="H121" s="1948">
        <v>0</v>
      </c>
      <c r="I121" s="1946">
        <v>0</v>
      </c>
      <c r="J121" s="1949">
        <v>0</v>
      </c>
      <c r="K121" s="1950">
        <v>0</v>
      </c>
      <c r="L121" s="1946">
        <v>0</v>
      </c>
      <c r="M121" s="1947">
        <v>0</v>
      </c>
    </row>
    <row r="122" spans="2:13" ht="11.25" customHeight="1" x14ac:dyDescent="0.25">
      <c r="B122" s="1840"/>
      <c r="C122" s="2428" t="s">
        <v>1336</v>
      </c>
      <c r="D122" s="1865"/>
      <c r="E122" s="1955">
        <v>0</v>
      </c>
      <c r="F122" s="1951">
        <v>0</v>
      </c>
      <c r="G122" s="1952">
        <v>0</v>
      </c>
      <c r="H122" s="1953">
        <v>0</v>
      </c>
      <c r="I122" s="1951">
        <v>0</v>
      </c>
      <c r="J122" s="1954">
        <v>0</v>
      </c>
      <c r="K122" s="1955">
        <v>0</v>
      </c>
      <c r="L122" s="1951">
        <v>0</v>
      </c>
      <c r="M122" s="1952">
        <v>0</v>
      </c>
    </row>
    <row r="123" spans="2:13" ht="11.25" customHeight="1" x14ac:dyDescent="0.25">
      <c r="B123" s="1840"/>
      <c r="C123" s="2425" t="s">
        <v>1337</v>
      </c>
      <c r="D123" s="1865"/>
      <c r="E123" s="1960"/>
      <c r="F123" s="1956"/>
      <c r="G123" s="1959"/>
      <c r="H123" s="1958"/>
      <c r="I123" s="1956"/>
      <c r="J123" s="1959"/>
      <c r="K123" s="1960"/>
      <c r="L123" s="1956"/>
      <c r="M123" s="1957"/>
    </row>
    <row r="124" spans="2:13" ht="11.25" customHeight="1" x14ac:dyDescent="0.25">
      <c r="B124" s="1840"/>
      <c r="C124" s="2426" t="s">
        <v>1338</v>
      </c>
      <c r="D124" s="1865"/>
      <c r="E124" s="2168"/>
      <c r="F124" s="2165"/>
      <c r="G124" s="2166"/>
      <c r="H124" s="2167"/>
      <c r="I124" s="2165"/>
      <c r="J124" s="1776"/>
      <c r="K124" s="2168"/>
      <c r="L124" s="2165"/>
      <c r="M124" s="2166"/>
    </row>
    <row r="125" spans="2:13" ht="11.25" customHeight="1" x14ac:dyDescent="0.25">
      <c r="B125" s="1840"/>
      <c r="C125" s="2426" t="s">
        <v>1339</v>
      </c>
      <c r="D125" s="1865"/>
      <c r="E125" s="2168"/>
      <c r="F125" s="2165"/>
      <c r="G125" s="2166"/>
      <c r="H125" s="2167"/>
      <c r="I125" s="2165"/>
      <c r="J125" s="1776"/>
      <c r="K125" s="2168"/>
      <c r="L125" s="2165"/>
      <c r="M125" s="2166"/>
    </row>
    <row r="126" spans="2:13" ht="11.25" customHeight="1" x14ac:dyDescent="0.25">
      <c r="B126" s="1840"/>
      <c r="C126" s="2426" t="s">
        <v>1411</v>
      </c>
      <c r="D126" s="1865"/>
      <c r="E126" s="2168"/>
      <c r="F126" s="2165"/>
      <c r="G126" s="2166"/>
      <c r="H126" s="2167"/>
      <c r="I126" s="2165"/>
      <c r="J126" s="1776"/>
      <c r="K126" s="2168"/>
      <c r="L126" s="2165"/>
      <c r="M126" s="2166"/>
    </row>
    <row r="127" spans="2:13" ht="11.25" customHeight="1" x14ac:dyDescent="0.25">
      <c r="B127" s="1840"/>
      <c r="C127" s="2426" t="s">
        <v>242</v>
      </c>
      <c r="D127" s="1865"/>
      <c r="E127" s="2168"/>
      <c r="F127" s="2165"/>
      <c r="G127" s="2166"/>
      <c r="H127" s="2167"/>
      <c r="I127" s="2165"/>
      <c r="J127" s="1776"/>
      <c r="K127" s="2168"/>
      <c r="L127" s="2165"/>
      <c r="M127" s="2166"/>
    </row>
    <row r="128" spans="2:13" ht="11.25" customHeight="1" x14ac:dyDescent="0.25">
      <c r="B128" s="1840"/>
      <c r="C128" s="2426" t="s">
        <v>244</v>
      </c>
      <c r="D128" s="1865"/>
      <c r="E128" s="2168"/>
      <c r="F128" s="2165"/>
      <c r="G128" s="2166"/>
      <c r="H128" s="2167"/>
      <c r="I128" s="2165"/>
      <c r="J128" s="1776"/>
      <c r="K128" s="2168"/>
      <c r="L128" s="2165"/>
      <c r="M128" s="2166"/>
    </row>
    <row r="129" spans="2:13" ht="11.25" customHeight="1" x14ac:dyDescent="0.25">
      <c r="B129" s="1840"/>
      <c r="C129" s="2427" t="s">
        <v>378</v>
      </c>
      <c r="D129" s="1865"/>
      <c r="E129" s="1945">
        <v>0</v>
      </c>
      <c r="F129" s="1941">
        <v>0</v>
      </c>
      <c r="G129" s="1942">
        <v>0</v>
      </c>
      <c r="H129" s="1943">
        <v>0</v>
      </c>
      <c r="I129" s="1941">
        <v>0</v>
      </c>
      <c r="J129" s="1944">
        <v>0</v>
      </c>
      <c r="K129" s="1945">
        <v>0</v>
      </c>
      <c r="L129" s="1941">
        <v>0</v>
      </c>
      <c r="M129" s="1942">
        <v>0</v>
      </c>
    </row>
    <row r="130" spans="2:13" ht="11.25" customHeight="1" x14ac:dyDescent="0.25">
      <c r="B130" s="1840"/>
      <c r="C130" s="2426" t="s">
        <v>243</v>
      </c>
      <c r="D130" s="1865"/>
      <c r="E130" s="2168"/>
      <c r="F130" s="2165"/>
      <c r="G130" s="2166"/>
      <c r="H130" s="2167"/>
      <c r="I130" s="2165"/>
      <c r="J130" s="1776"/>
      <c r="K130" s="2168"/>
      <c r="L130" s="2165"/>
      <c r="M130" s="2166"/>
    </row>
    <row r="131" spans="2:13" ht="11.25" customHeight="1" x14ac:dyDescent="0.25">
      <c r="B131" s="1840"/>
      <c r="C131" s="2426" t="s">
        <v>1241</v>
      </c>
      <c r="D131" s="1865"/>
      <c r="E131" s="2168"/>
      <c r="F131" s="2165"/>
      <c r="G131" s="2166"/>
      <c r="H131" s="2167"/>
      <c r="I131" s="2165"/>
      <c r="J131" s="1776"/>
      <c r="K131" s="2168"/>
      <c r="L131" s="2165"/>
      <c r="M131" s="2166"/>
    </row>
    <row r="132" spans="2:13" ht="11.25" customHeight="1" x14ac:dyDescent="0.25">
      <c r="B132" s="1840"/>
      <c r="C132" s="2426" t="s">
        <v>1413</v>
      </c>
      <c r="D132" s="1865"/>
      <c r="E132" s="2168"/>
      <c r="F132" s="2165"/>
      <c r="G132" s="2166"/>
      <c r="H132" s="2167"/>
      <c r="I132" s="2165"/>
      <c r="J132" s="1776"/>
      <c r="K132" s="2168"/>
      <c r="L132" s="2165"/>
      <c r="M132" s="2166"/>
    </row>
    <row r="133" spans="2:13" ht="11.25" customHeight="1" x14ac:dyDescent="0.25">
      <c r="B133" s="1840"/>
      <c r="C133" s="2427" t="s">
        <v>1298</v>
      </c>
      <c r="D133" s="1865"/>
      <c r="E133" s="1950">
        <v>0</v>
      </c>
      <c r="F133" s="1946">
        <v>0</v>
      </c>
      <c r="G133" s="1947">
        <v>0</v>
      </c>
      <c r="H133" s="1948">
        <v>0</v>
      </c>
      <c r="I133" s="1946">
        <v>0</v>
      </c>
      <c r="J133" s="1949">
        <v>0</v>
      </c>
      <c r="K133" s="1950">
        <v>0</v>
      </c>
      <c r="L133" s="1946">
        <v>0</v>
      </c>
      <c r="M133" s="1947">
        <v>0</v>
      </c>
    </row>
    <row r="134" spans="2:13" ht="11.25" customHeight="1" x14ac:dyDescent="0.25">
      <c r="B134" s="1840"/>
      <c r="C134" s="2428" t="s">
        <v>1336</v>
      </c>
      <c r="D134" s="1865"/>
      <c r="E134" s="1955">
        <v>0</v>
      </c>
      <c r="F134" s="1951">
        <v>0</v>
      </c>
      <c r="G134" s="1952">
        <v>0</v>
      </c>
      <c r="H134" s="1953">
        <v>0</v>
      </c>
      <c r="I134" s="1951">
        <v>0</v>
      </c>
      <c r="J134" s="1954">
        <v>0</v>
      </c>
      <c r="K134" s="1955">
        <v>0</v>
      </c>
      <c r="L134" s="1951">
        <v>0</v>
      </c>
      <c r="M134" s="1952">
        <v>0</v>
      </c>
    </row>
    <row r="135" spans="2:13" ht="11.25" customHeight="1" x14ac:dyDescent="0.25">
      <c r="B135" s="1840"/>
      <c r="C135" s="2425" t="s">
        <v>689</v>
      </c>
      <c r="D135" s="1865"/>
      <c r="E135" s="1960"/>
      <c r="F135" s="1956"/>
      <c r="G135" s="1959"/>
      <c r="H135" s="1958"/>
      <c r="I135" s="1956"/>
      <c r="J135" s="1959"/>
      <c r="K135" s="1960"/>
      <c r="L135" s="1956"/>
      <c r="M135" s="1957"/>
    </row>
    <row r="136" spans="2:13" ht="11.25" customHeight="1" x14ac:dyDescent="0.25">
      <c r="B136" s="1840"/>
      <c r="C136" s="2426" t="s">
        <v>1242</v>
      </c>
      <c r="D136" s="1865"/>
      <c r="E136" s="2168"/>
      <c r="F136" s="2165"/>
      <c r="G136" s="2166"/>
      <c r="H136" s="2167"/>
      <c r="I136" s="2165"/>
      <c r="J136" s="1776"/>
      <c r="K136" s="2168"/>
      <c r="L136" s="2165"/>
      <c r="M136" s="2166"/>
    </row>
    <row r="137" spans="2:13" ht="11.25" customHeight="1" x14ac:dyDescent="0.25">
      <c r="B137" s="1840"/>
      <c r="C137" s="2426" t="s">
        <v>509</v>
      </c>
      <c r="D137" s="1865"/>
      <c r="E137" s="2168"/>
      <c r="F137" s="2165"/>
      <c r="G137" s="2166"/>
      <c r="H137" s="2167"/>
      <c r="I137" s="2165"/>
      <c r="J137" s="1776"/>
      <c r="K137" s="2168"/>
      <c r="L137" s="2165"/>
      <c r="M137" s="2166"/>
    </row>
    <row r="138" spans="2:13" ht="11.25" customHeight="1" x14ac:dyDescent="0.25">
      <c r="B138" s="1840"/>
      <c r="C138" s="2427" t="s">
        <v>378</v>
      </c>
      <c r="D138" s="1865"/>
      <c r="E138" s="1945">
        <v>0</v>
      </c>
      <c r="F138" s="1941">
        <v>0</v>
      </c>
      <c r="G138" s="1942">
        <v>0</v>
      </c>
      <c r="H138" s="1943">
        <v>0</v>
      </c>
      <c r="I138" s="1941">
        <v>0</v>
      </c>
      <c r="J138" s="1944">
        <v>0</v>
      </c>
      <c r="K138" s="1945">
        <v>0</v>
      </c>
      <c r="L138" s="1941">
        <v>0</v>
      </c>
      <c r="M138" s="1942">
        <v>0</v>
      </c>
    </row>
    <row r="139" spans="2:13" ht="11.25" customHeight="1" x14ac:dyDescent="0.25">
      <c r="B139" s="1840"/>
      <c r="C139" s="2426" t="s">
        <v>510</v>
      </c>
      <c r="D139" s="1865"/>
      <c r="E139" s="2168"/>
      <c r="F139" s="2165"/>
      <c r="G139" s="2166"/>
      <c r="H139" s="2167"/>
      <c r="I139" s="2165"/>
      <c r="J139" s="1776"/>
      <c r="K139" s="2168"/>
      <c r="L139" s="2165"/>
      <c r="M139" s="2166"/>
    </row>
    <row r="140" spans="2:13" ht="11.25" customHeight="1" x14ac:dyDescent="0.25">
      <c r="B140" s="1840"/>
      <c r="C140" s="2426" t="s">
        <v>511</v>
      </c>
      <c r="D140" s="1865"/>
      <c r="E140" s="2168"/>
      <c r="F140" s="2165"/>
      <c r="G140" s="2166"/>
      <c r="H140" s="2167"/>
      <c r="I140" s="2165"/>
      <c r="J140" s="1776"/>
      <c r="K140" s="2168"/>
      <c r="L140" s="2165"/>
      <c r="M140" s="2166"/>
    </row>
    <row r="141" spans="2:13" ht="11.25" customHeight="1" x14ac:dyDescent="0.25">
      <c r="B141" s="1840"/>
      <c r="C141" s="2426" t="s">
        <v>690</v>
      </c>
      <c r="D141" s="1865"/>
      <c r="E141" s="2168"/>
      <c r="F141" s="2165"/>
      <c r="G141" s="2166"/>
      <c r="H141" s="2167"/>
      <c r="I141" s="2165"/>
      <c r="J141" s="1776"/>
      <c r="K141" s="2168"/>
      <c r="L141" s="2165"/>
      <c r="M141" s="2166"/>
    </row>
    <row r="142" spans="2:13" ht="11.25" customHeight="1" x14ac:dyDescent="0.25">
      <c r="B142" s="1840"/>
      <c r="C142" s="2427" t="s">
        <v>1298</v>
      </c>
      <c r="D142" s="1865"/>
      <c r="E142" s="1950">
        <v>0</v>
      </c>
      <c r="F142" s="1946">
        <v>0</v>
      </c>
      <c r="G142" s="1947">
        <v>0</v>
      </c>
      <c r="H142" s="1948">
        <v>0</v>
      </c>
      <c r="I142" s="1946">
        <v>0</v>
      </c>
      <c r="J142" s="1949">
        <v>0</v>
      </c>
      <c r="K142" s="1950">
        <v>0</v>
      </c>
      <c r="L142" s="1946">
        <v>0</v>
      </c>
      <c r="M142" s="1947">
        <v>0</v>
      </c>
    </row>
    <row r="143" spans="2:13" ht="11.25" customHeight="1" x14ac:dyDescent="0.25">
      <c r="B143" s="1840"/>
      <c r="C143" s="2428" t="s">
        <v>1336</v>
      </c>
      <c r="D143" s="1865"/>
      <c r="E143" s="1955">
        <v>0</v>
      </c>
      <c r="F143" s="1951">
        <v>0</v>
      </c>
      <c r="G143" s="1952">
        <v>0</v>
      </c>
      <c r="H143" s="1953">
        <v>0</v>
      </c>
      <c r="I143" s="1951">
        <v>0</v>
      </c>
      <c r="J143" s="1954">
        <v>0</v>
      </c>
      <c r="K143" s="1955">
        <v>0</v>
      </c>
      <c r="L143" s="1951">
        <v>0</v>
      </c>
      <c r="M143" s="1952">
        <v>0</v>
      </c>
    </row>
    <row r="144" spans="2:13" ht="11.25" customHeight="1" x14ac:dyDescent="0.25">
      <c r="B144" s="1840"/>
      <c r="C144" s="2425" t="s">
        <v>693</v>
      </c>
      <c r="D144" s="1865"/>
      <c r="E144" s="1960"/>
      <c r="F144" s="1956"/>
      <c r="G144" s="1959"/>
      <c r="H144" s="1958"/>
      <c r="I144" s="1956"/>
      <c r="J144" s="1959"/>
      <c r="K144" s="1960"/>
      <c r="L144" s="1956"/>
      <c r="M144" s="1957"/>
    </row>
    <row r="145" spans="1:13" ht="11.25" customHeight="1" x14ac:dyDescent="0.25">
      <c r="B145" s="1840"/>
      <c r="C145" s="2426" t="s">
        <v>745</v>
      </c>
      <c r="D145" s="1865"/>
      <c r="E145" s="2172"/>
      <c r="F145" s="2170"/>
      <c r="G145" s="2176"/>
      <c r="H145" s="2429"/>
      <c r="I145" s="2170"/>
      <c r="J145" s="2430"/>
      <c r="K145" s="2172"/>
      <c r="L145" s="2170"/>
      <c r="M145" s="2176"/>
    </row>
    <row r="146" spans="1:13" ht="11.25" customHeight="1" x14ac:dyDescent="0.25">
      <c r="B146" s="1840"/>
      <c r="C146" s="2427" t="s">
        <v>378</v>
      </c>
      <c r="D146" s="1865"/>
      <c r="E146" s="1960">
        <v>0</v>
      </c>
      <c r="F146" s="1956">
        <v>0</v>
      </c>
      <c r="G146" s="1957">
        <v>0</v>
      </c>
      <c r="H146" s="1958">
        <v>0</v>
      </c>
      <c r="I146" s="1956">
        <v>0</v>
      </c>
      <c r="J146" s="1959">
        <v>0</v>
      </c>
      <c r="K146" s="1960">
        <v>0</v>
      </c>
      <c r="L146" s="1956">
        <v>0</v>
      </c>
      <c r="M146" s="1957">
        <v>0</v>
      </c>
    </row>
    <row r="147" spans="1:13" ht="11.25" customHeight="1" x14ac:dyDescent="0.25">
      <c r="B147" s="1840"/>
      <c r="C147" s="2426" t="s">
        <v>694</v>
      </c>
      <c r="D147" s="1865"/>
      <c r="E147" s="2168"/>
      <c r="F147" s="2165"/>
      <c r="G147" s="2166"/>
      <c r="H147" s="2167"/>
      <c r="I147" s="2165"/>
      <c r="J147" s="1776"/>
      <c r="K147" s="2168"/>
      <c r="L147" s="2165"/>
      <c r="M147" s="2166"/>
    </row>
    <row r="148" spans="1:13" ht="11.25" customHeight="1" x14ac:dyDescent="0.25">
      <c r="B148" s="1840"/>
      <c r="C148" s="2426" t="s">
        <v>695</v>
      </c>
      <c r="D148" s="1865"/>
      <c r="E148" s="2168"/>
      <c r="F148" s="2165"/>
      <c r="G148" s="2166"/>
      <c r="H148" s="2167"/>
      <c r="I148" s="2165"/>
      <c r="J148" s="1776"/>
      <c r="K148" s="2168"/>
      <c r="L148" s="2165"/>
      <c r="M148" s="2166"/>
    </row>
    <row r="149" spans="1:13" ht="11.25" customHeight="1" x14ac:dyDescent="0.25">
      <c r="B149" s="1840"/>
      <c r="C149" s="2426" t="s">
        <v>885</v>
      </c>
      <c r="D149" s="1865"/>
      <c r="E149" s="2168"/>
      <c r="F149" s="2165"/>
      <c r="G149" s="2166"/>
      <c r="H149" s="2167"/>
      <c r="I149" s="2165"/>
      <c r="J149" s="1776"/>
      <c r="K149" s="2168"/>
      <c r="L149" s="2165"/>
      <c r="M149" s="2166"/>
    </row>
    <row r="150" spans="1:13" ht="11.25" customHeight="1" x14ac:dyDescent="0.25">
      <c r="B150" s="1840"/>
      <c r="C150" s="2426" t="s">
        <v>886</v>
      </c>
      <c r="D150" s="1865"/>
      <c r="E150" s="2168"/>
      <c r="F150" s="2165"/>
      <c r="G150" s="2166"/>
      <c r="H150" s="2167"/>
      <c r="I150" s="2165"/>
      <c r="J150" s="1776"/>
      <c r="K150" s="2168"/>
      <c r="L150" s="2165"/>
      <c r="M150" s="2166"/>
    </row>
    <row r="151" spans="1:13" ht="11.25" customHeight="1" x14ac:dyDescent="0.25">
      <c r="B151" s="1840"/>
      <c r="C151" s="2426" t="s">
        <v>199</v>
      </c>
      <c r="D151" s="1865"/>
      <c r="E151" s="2168"/>
      <c r="F151" s="2165"/>
      <c r="G151" s="2166"/>
      <c r="H151" s="2167"/>
      <c r="I151" s="2165"/>
      <c r="J151" s="1776"/>
      <c r="K151" s="2168"/>
      <c r="L151" s="2165"/>
      <c r="M151" s="2166"/>
    </row>
    <row r="152" spans="1:13" ht="11.25" customHeight="1" x14ac:dyDescent="0.25">
      <c r="B152" s="1840"/>
      <c r="C152" s="2427" t="s">
        <v>1298</v>
      </c>
      <c r="D152" s="1865"/>
      <c r="E152" s="1950">
        <v>0</v>
      </c>
      <c r="F152" s="1946">
        <v>0</v>
      </c>
      <c r="G152" s="1947">
        <v>0</v>
      </c>
      <c r="H152" s="1948">
        <v>0</v>
      </c>
      <c r="I152" s="1946">
        <v>0</v>
      </c>
      <c r="J152" s="1949">
        <v>0</v>
      </c>
      <c r="K152" s="1950">
        <v>0</v>
      </c>
      <c r="L152" s="1946">
        <v>0</v>
      </c>
      <c r="M152" s="1947">
        <v>0</v>
      </c>
    </row>
    <row r="153" spans="1:13" ht="11.25" customHeight="1" x14ac:dyDescent="0.25">
      <c r="B153" s="1840"/>
      <c r="C153" s="2428" t="s">
        <v>1336</v>
      </c>
      <c r="D153" s="1865"/>
      <c r="E153" s="1955">
        <v>0</v>
      </c>
      <c r="F153" s="1951">
        <v>0</v>
      </c>
      <c r="G153" s="1952">
        <v>0</v>
      </c>
      <c r="H153" s="1953">
        <v>0</v>
      </c>
      <c r="I153" s="1951">
        <v>0</v>
      </c>
      <c r="J153" s="1954">
        <v>0</v>
      </c>
      <c r="K153" s="1955">
        <v>0</v>
      </c>
      <c r="L153" s="1951">
        <v>0</v>
      </c>
      <c r="M153" s="1952">
        <v>0</v>
      </c>
    </row>
    <row r="154" spans="1:13" ht="5.0999999999999996" customHeight="1" x14ac:dyDescent="0.25">
      <c r="B154" s="1840"/>
      <c r="C154" s="2431"/>
      <c r="D154" s="1866"/>
      <c r="E154" s="919"/>
      <c r="F154" s="915"/>
      <c r="G154" s="916"/>
      <c r="H154" s="917"/>
      <c r="I154" s="915"/>
      <c r="J154" s="918"/>
      <c r="K154" s="919"/>
      <c r="L154" s="915"/>
      <c r="M154" s="916"/>
    </row>
    <row r="155" spans="1:13" ht="24.95" customHeight="1" x14ac:dyDescent="0.25">
      <c r="A155" s="2741" t="s">
        <v>2094</v>
      </c>
      <c r="B155" s="1833"/>
      <c r="C155" s="2419"/>
      <c r="D155" s="2420"/>
      <c r="E155" s="1834" t="s">
        <v>2478</v>
      </c>
      <c r="F155" s="896" t="s">
        <v>2479</v>
      </c>
      <c r="G155" s="1998" t="s">
        <v>2480</v>
      </c>
      <c r="H155" s="2708" t="s">
        <v>2481</v>
      </c>
      <c r="I155" s="2709"/>
      <c r="J155" s="2710"/>
      <c r="K155" s="2708" t="s">
        <v>2482</v>
      </c>
      <c r="L155" s="2709"/>
      <c r="M155" s="2710"/>
    </row>
    <row r="156" spans="1:13" ht="24.95" customHeight="1" x14ac:dyDescent="0.25">
      <c r="A156" s="2741"/>
      <c r="B156" s="1835" t="s">
        <v>2006</v>
      </c>
      <c r="C156" s="2421"/>
      <c r="D156" s="2422"/>
      <c r="E156" s="1836" t="s">
        <v>319</v>
      </c>
      <c r="F156" s="1837" t="s">
        <v>319</v>
      </c>
      <c r="G156" s="1838" t="s">
        <v>319</v>
      </c>
      <c r="H156" s="1839" t="s">
        <v>467</v>
      </c>
      <c r="I156" s="1837" t="s">
        <v>1807</v>
      </c>
      <c r="J156" s="1838" t="s">
        <v>1808</v>
      </c>
      <c r="K156" s="1839" t="s">
        <v>2483</v>
      </c>
      <c r="L156" s="1837" t="s">
        <v>2484</v>
      </c>
      <c r="M156" s="1838" t="s">
        <v>2485</v>
      </c>
    </row>
    <row r="157" spans="1:13" ht="11.25" customHeight="1" x14ac:dyDescent="0.25">
      <c r="B157" s="1840"/>
      <c r="C157" s="2423" t="s">
        <v>201</v>
      </c>
      <c r="D157" s="1865"/>
      <c r="E157" s="2424"/>
      <c r="F157" s="1841"/>
      <c r="G157" s="1842"/>
      <c r="H157" s="1843"/>
      <c r="I157" s="1844"/>
      <c r="J157" s="1845"/>
      <c r="K157" s="1846"/>
      <c r="L157" s="1844"/>
      <c r="M157" s="1847"/>
    </row>
    <row r="158" spans="1:13" ht="11.25" customHeight="1" x14ac:dyDescent="0.25">
      <c r="A158" s="2443" t="s">
        <v>2095</v>
      </c>
      <c r="B158" s="1840"/>
      <c r="C158" s="2425" t="s">
        <v>1869</v>
      </c>
      <c r="D158" s="1865"/>
      <c r="E158" s="907"/>
      <c r="F158" s="903"/>
      <c r="G158" s="906"/>
      <c r="H158" s="854"/>
      <c r="I158" s="852"/>
      <c r="J158" s="855"/>
      <c r="K158" s="856"/>
      <c r="L158" s="852"/>
      <c r="M158" s="853"/>
    </row>
    <row r="159" spans="1:13" ht="11.25" customHeight="1" x14ac:dyDescent="0.25">
      <c r="B159" s="1840"/>
      <c r="C159" s="2426" t="s">
        <v>1656</v>
      </c>
      <c r="D159" s="1865"/>
      <c r="E159" s="2168"/>
      <c r="F159" s="2165"/>
      <c r="G159" s="2166"/>
      <c r="H159" s="2167"/>
      <c r="I159" s="2165"/>
      <c r="J159" s="1776"/>
      <c r="K159" s="2168"/>
      <c r="L159" s="2165"/>
      <c r="M159" s="2166"/>
    </row>
    <row r="160" spans="1:13" ht="11.25" customHeight="1" x14ac:dyDescent="0.25">
      <c r="B160" s="1840"/>
      <c r="C160" s="2426" t="s">
        <v>1868</v>
      </c>
      <c r="D160" s="1865"/>
      <c r="E160" s="2168"/>
      <c r="F160" s="2165"/>
      <c r="G160" s="2166"/>
      <c r="H160" s="2167"/>
      <c r="I160" s="2165"/>
      <c r="J160" s="1776"/>
      <c r="K160" s="2168"/>
      <c r="L160" s="2165"/>
      <c r="M160" s="2166"/>
    </row>
    <row r="161" spans="1:13" ht="11.25" customHeight="1" x14ac:dyDescent="0.25">
      <c r="B161" s="1848">
        <v>8</v>
      </c>
      <c r="C161" s="2426" t="s">
        <v>131</v>
      </c>
      <c r="D161" s="1865"/>
      <c r="E161" s="2168"/>
      <c r="F161" s="2165"/>
      <c r="G161" s="2166"/>
      <c r="H161" s="2167"/>
      <c r="I161" s="2165"/>
      <c r="J161" s="1776"/>
      <c r="K161" s="2168"/>
      <c r="L161" s="2165"/>
      <c r="M161" s="2166"/>
    </row>
    <row r="162" spans="1:13" ht="11.25" customHeight="1" x14ac:dyDescent="0.25">
      <c r="B162" s="1848">
        <v>10</v>
      </c>
      <c r="C162" s="2426" t="s">
        <v>132</v>
      </c>
      <c r="D162" s="1865"/>
      <c r="E162" s="2168"/>
      <c r="F162" s="2165"/>
      <c r="G162" s="2166"/>
      <c r="H162" s="2167"/>
      <c r="I162" s="2165"/>
      <c r="J162" s="1776"/>
      <c r="K162" s="2168"/>
      <c r="L162" s="2165"/>
      <c r="M162" s="2166"/>
    </row>
    <row r="163" spans="1:13" ht="11.25" customHeight="1" x14ac:dyDescent="0.25">
      <c r="B163" s="1848"/>
      <c r="C163" s="2427" t="s">
        <v>378</v>
      </c>
      <c r="D163" s="1865"/>
      <c r="E163" s="1945">
        <v>0</v>
      </c>
      <c r="F163" s="1941">
        <v>0</v>
      </c>
      <c r="G163" s="1942">
        <v>0</v>
      </c>
      <c r="H163" s="1943">
        <v>0</v>
      </c>
      <c r="I163" s="1941">
        <v>0</v>
      </c>
      <c r="J163" s="1944">
        <v>0</v>
      </c>
      <c r="K163" s="1945">
        <v>0</v>
      </c>
      <c r="L163" s="1941">
        <v>0</v>
      </c>
      <c r="M163" s="1942">
        <v>0</v>
      </c>
    </row>
    <row r="164" spans="1:13" ht="11.25" customHeight="1" x14ac:dyDescent="0.25">
      <c r="B164" s="1848">
        <v>9</v>
      </c>
      <c r="C164" s="2426" t="s">
        <v>507</v>
      </c>
      <c r="D164" s="1865"/>
      <c r="E164" s="2168"/>
      <c r="F164" s="2165"/>
      <c r="G164" s="2166"/>
      <c r="H164" s="2167"/>
      <c r="I164" s="2165"/>
      <c r="J164" s="1776"/>
      <c r="K164" s="2168"/>
      <c r="L164" s="2165"/>
      <c r="M164" s="2166"/>
    </row>
    <row r="165" spans="1:13" ht="11.25" customHeight="1" x14ac:dyDescent="0.25">
      <c r="B165" s="1848">
        <v>10</v>
      </c>
      <c r="C165" s="2426" t="s">
        <v>508</v>
      </c>
      <c r="D165" s="1865"/>
      <c r="E165" s="2168"/>
      <c r="F165" s="2165"/>
      <c r="G165" s="2166"/>
      <c r="H165" s="2167"/>
      <c r="I165" s="2165"/>
      <c r="J165" s="1776"/>
      <c r="K165" s="2168"/>
      <c r="L165" s="2165"/>
      <c r="M165" s="2166"/>
    </row>
    <row r="166" spans="1:13" ht="11.25" customHeight="1" x14ac:dyDescent="0.25">
      <c r="B166" s="1840"/>
      <c r="C166" s="2426" t="s">
        <v>976</v>
      </c>
      <c r="D166" s="1865"/>
      <c r="E166" s="2168"/>
      <c r="F166" s="2165"/>
      <c r="G166" s="2166"/>
      <c r="H166" s="2167"/>
      <c r="I166" s="2165"/>
      <c r="J166" s="1776"/>
      <c r="K166" s="2168"/>
      <c r="L166" s="2165"/>
      <c r="M166" s="2166"/>
    </row>
    <row r="167" spans="1:13" ht="11.25" customHeight="1" x14ac:dyDescent="0.25">
      <c r="B167" s="1840"/>
      <c r="C167" s="2427" t="s">
        <v>1298</v>
      </c>
      <c r="D167" s="1865"/>
      <c r="E167" s="1950">
        <v>0</v>
      </c>
      <c r="F167" s="1946">
        <v>0</v>
      </c>
      <c r="G167" s="1947">
        <v>0</v>
      </c>
      <c r="H167" s="1948">
        <v>0</v>
      </c>
      <c r="I167" s="1946">
        <v>0</v>
      </c>
      <c r="J167" s="1949">
        <v>0</v>
      </c>
      <c r="K167" s="1950">
        <v>0</v>
      </c>
      <c r="L167" s="1946">
        <v>0</v>
      </c>
      <c r="M167" s="1947">
        <v>0</v>
      </c>
    </row>
    <row r="168" spans="1:13" ht="11.25" customHeight="1" x14ac:dyDescent="0.25">
      <c r="B168" s="1840"/>
      <c r="C168" s="2428" t="s">
        <v>1336</v>
      </c>
      <c r="D168" s="1865"/>
      <c r="E168" s="1955">
        <v>0</v>
      </c>
      <c r="F168" s="1951">
        <v>0</v>
      </c>
      <c r="G168" s="1952">
        <v>0</v>
      </c>
      <c r="H168" s="1953">
        <v>0</v>
      </c>
      <c r="I168" s="1951">
        <v>0</v>
      </c>
      <c r="J168" s="1954">
        <v>0</v>
      </c>
      <c r="K168" s="1955">
        <v>0</v>
      </c>
      <c r="L168" s="1951">
        <v>0</v>
      </c>
      <c r="M168" s="1952">
        <v>0</v>
      </c>
    </row>
    <row r="169" spans="1:13" ht="11.25" customHeight="1" x14ac:dyDescent="0.25">
      <c r="A169" s="2443" t="s">
        <v>2095</v>
      </c>
      <c r="B169" s="1840"/>
      <c r="C169" s="2425" t="s">
        <v>1337</v>
      </c>
      <c r="D169" s="1865"/>
      <c r="E169" s="1960"/>
      <c r="F169" s="1956"/>
      <c r="G169" s="1959"/>
      <c r="H169" s="1958"/>
      <c r="I169" s="1956"/>
      <c r="J169" s="1959"/>
      <c r="K169" s="1960"/>
      <c r="L169" s="1956"/>
      <c r="M169" s="1957"/>
    </row>
    <row r="170" spans="1:13" ht="11.25" customHeight="1" x14ac:dyDescent="0.25">
      <c r="B170" s="1840"/>
      <c r="C170" s="2426" t="s">
        <v>1338</v>
      </c>
      <c r="D170" s="1865"/>
      <c r="E170" s="2168"/>
      <c r="F170" s="2165"/>
      <c r="G170" s="2166"/>
      <c r="H170" s="2167"/>
      <c r="I170" s="2165"/>
      <c r="J170" s="1776"/>
      <c r="K170" s="2168"/>
      <c r="L170" s="2165"/>
      <c r="M170" s="2166"/>
    </row>
    <row r="171" spans="1:13" ht="11.25" customHeight="1" x14ac:dyDescent="0.25">
      <c r="B171" s="1840"/>
      <c r="C171" s="2426" t="s">
        <v>1339</v>
      </c>
      <c r="D171" s="1865"/>
      <c r="E171" s="2168"/>
      <c r="F171" s="2165"/>
      <c r="G171" s="2166"/>
      <c r="H171" s="2167"/>
      <c r="I171" s="2165"/>
      <c r="J171" s="1776"/>
      <c r="K171" s="2168"/>
      <c r="L171" s="2165"/>
      <c r="M171" s="2166"/>
    </row>
    <row r="172" spans="1:13" ht="11.25" customHeight="1" x14ac:dyDescent="0.25">
      <c r="B172" s="1840"/>
      <c r="C172" s="2426" t="s">
        <v>1411</v>
      </c>
      <c r="D172" s="1865"/>
      <c r="E172" s="2168"/>
      <c r="F172" s="2165"/>
      <c r="G172" s="2166"/>
      <c r="H172" s="2167"/>
      <c r="I172" s="2165"/>
      <c r="J172" s="1776"/>
      <c r="K172" s="2168"/>
      <c r="L172" s="2165"/>
      <c r="M172" s="2166"/>
    </row>
    <row r="173" spans="1:13" ht="11.25" customHeight="1" x14ac:dyDescent="0.25">
      <c r="B173" s="1840"/>
      <c r="C173" s="2426" t="s">
        <v>242</v>
      </c>
      <c r="D173" s="1865"/>
      <c r="E173" s="2168"/>
      <c r="F173" s="2165"/>
      <c r="G173" s="2166"/>
      <c r="H173" s="2167"/>
      <c r="I173" s="2165"/>
      <c r="J173" s="1776"/>
      <c r="K173" s="2168"/>
      <c r="L173" s="2165"/>
      <c r="M173" s="2166"/>
    </row>
    <row r="174" spans="1:13" ht="11.25" customHeight="1" x14ac:dyDescent="0.25">
      <c r="B174" s="1840"/>
      <c r="C174" s="2426" t="s">
        <v>244</v>
      </c>
      <c r="D174" s="1865"/>
      <c r="E174" s="2168"/>
      <c r="F174" s="2165"/>
      <c r="G174" s="2166"/>
      <c r="H174" s="2167"/>
      <c r="I174" s="2165"/>
      <c r="J174" s="1776"/>
      <c r="K174" s="2168"/>
      <c r="L174" s="2165"/>
      <c r="M174" s="2166"/>
    </row>
    <row r="175" spans="1:13" ht="11.25" customHeight="1" x14ac:dyDescent="0.25">
      <c r="B175" s="1840"/>
      <c r="C175" s="2427" t="s">
        <v>378</v>
      </c>
      <c r="D175" s="1865"/>
      <c r="E175" s="1945">
        <v>0</v>
      </c>
      <c r="F175" s="1941">
        <v>0</v>
      </c>
      <c r="G175" s="1942">
        <v>0</v>
      </c>
      <c r="H175" s="1943">
        <v>0</v>
      </c>
      <c r="I175" s="1941">
        <v>0</v>
      </c>
      <c r="J175" s="1944">
        <v>0</v>
      </c>
      <c r="K175" s="1945">
        <v>0</v>
      </c>
      <c r="L175" s="1941">
        <v>0</v>
      </c>
      <c r="M175" s="1942">
        <v>0</v>
      </c>
    </row>
    <row r="176" spans="1:13" ht="11.25" customHeight="1" x14ac:dyDescent="0.25">
      <c r="B176" s="1840"/>
      <c r="C176" s="2426" t="s">
        <v>243</v>
      </c>
      <c r="D176" s="1865"/>
      <c r="E176" s="2168"/>
      <c r="F176" s="2165"/>
      <c r="G176" s="2166"/>
      <c r="H176" s="2167"/>
      <c r="I176" s="2165"/>
      <c r="J176" s="1776"/>
      <c r="K176" s="2168"/>
      <c r="L176" s="2165"/>
      <c r="M176" s="2166"/>
    </row>
    <row r="177" spans="1:13" ht="11.25" customHeight="1" x14ac:dyDescent="0.25">
      <c r="B177" s="1840"/>
      <c r="C177" s="2426" t="s">
        <v>1241</v>
      </c>
      <c r="D177" s="1865"/>
      <c r="E177" s="2168"/>
      <c r="F177" s="2165"/>
      <c r="G177" s="2166"/>
      <c r="H177" s="2167"/>
      <c r="I177" s="2165"/>
      <c r="J177" s="1776"/>
      <c r="K177" s="2168"/>
      <c r="L177" s="2165"/>
      <c r="M177" s="2166"/>
    </row>
    <row r="178" spans="1:13" ht="11.25" customHeight="1" x14ac:dyDescent="0.25">
      <c r="B178" s="1840"/>
      <c r="C178" s="2426" t="s">
        <v>1413</v>
      </c>
      <c r="D178" s="1865"/>
      <c r="E178" s="2168"/>
      <c r="F178" s="2165"/>
      <c r="G178" s="2166"/>
      <c r="H178" s="2167"/>
      <c r="I178" s="2165"/>
      <c r="J178" s="1776"/>
      <c r="K178" s="2168"/>
      <c r="L178" s="2165"/>
      <c r="M178" s="2166"/>
    </row>
    <row r="179" spans="1:13" ht="11.25" customHeight="1" x14ac:dyDescent="0.25">
      <c r="B179" s="1840"/>
      <c r="C179" s="2427" t="s">
        <v>1298</v>
      </c>
      <c r="D179" s="1865"/>
      <c r="E179" s="1950">
        <v>0</v>
      </c>
      <c r="F179" s="1946">
        <v>0</v>
      </c>
      <c r="G179" s="1947">
        <v>0</v>
      </c>
      <c r="H179" s="1948">
        <v>0</v>
      </c>
      <c r="I179" s="1946">
        <v>0</v>
      </c>
      <c r="J179" s="1949">
        <v>0</v>
      </c>
      <c r="K179" s="1950">
        <v>0</v>
      </c>
      <c r="L179" s="1946">
        <v>0</v>
      </c>
      <c r="M179" s="1947">
        <v>0</v>
      </c>
    </row>
    <row r="180" spans="1:13" ht="11.25" customHeight="1" x14ac:dyDescent="0.25">
      <c r="B180" s="1840"/>
      <c r="C180" s="2428" t="s">
        <v>1336</v>
      </c>
      <c r="D180" s="1865"/>
      <c r="E180" s="1955">
        <v>0</v>
      </c>
      <c r="F180" s="1951">
        <v>0</v>
      </c>
      <c r="G180" s="1952">
        <v>0</v>
      </c>
      <c r="H180" s="1953">
        <v>0</v>
      </c>
      <c r="I180" s="1951">
        <v>0</v>
      </c>
      <c r="J180" s="1954">
        <v>0</v>
      </c>
      <c r="K180" s="1955">
        <v>0</v>
      </c>
      <c r="L180" s="1951">
        <v>0</v>
      </c>
      <c r="M180" s="1952">
        <v>0</v>
      </c>
    </row>
    <row r="181" spans="1:13" ht="11.25" customHeight="1" x14ac:dyDescent="0.25">
      <c r="A181" s="2443" t="s">
        <v>2095</v>
      </c>
      <c r="B181" s="1840"/>
      <c r="C181" s="2425" t="s">
        <v>689</v>
      </c>
      <c r="D181" s="1865"/>
      <c r="E181" s="1960"/>
      <c r="F181" s="1956"/>
      <c r="G181" s="1959"/>
      <c r="H181" s="1958"/>
      <c r="I181" s="1956"/>
      <c r="J181" s="1959"/>
      <c r="K181" s="1960"/>
      <c r="L181" s="1956"/>
      <c r="M181" s="1957"/>
    </row>
    <row r="182" spans="1:13" ht="11.25" customHeight="1" x14ac:dyDescent="0.25">
      <c r="B182" s="1840"/>
      <c r="C182" s="2426" t="s">
        <v>1242</v>
      </c>
      <c r="D182" s="1865"/>
      <c r="E182" s="2168"/>
      <c r="F182" s="2165"/>
      <c r="G182" s="2166"/>
      <c r="H182" s="2167"/>
      <c r="I182" s="2165"/>
      <c r="J182" s="1776"/>
      <c r="K182" s="2168"/>
      <c r="L182" s="2165"/>
      <c r="M182" s="2166"/>
    </row>
    <row r="183" spans="1:13" ht="11.25" customHeight="1" x14ac:dyDescent="0.25">
      <c r="B183" s="1840"/>
      <c r="C183" s="2426" t="s">
        <v>509</v>
      </c>
      <c r="D183" s="1865"/>
      <c r="E183" s="2168"/>
      <c r="F183" s="2165"/>
      <c r="G183" s="2166"/>
      <c r="H183" s="2167"/>
      <c r="I183" s="2165"/>
      <c r="J183" s="1776"/>
      <c r="K183" s="2168"/>
      <c r="L183" s="2165"/>
      <c r="M183" s="2166"/>
    </row>
    <row r="184" spans="1:13" ht="11.25" customHeight="1" x14ac:dyDescent="0.25">
      <c r="B184" s="1840"/>
      <c r="C184" s="2427" t="s">
        <v>378</v>
      </c>
      <c r="D184" s="1865"/>
      <c r="E184" s="1945">
        <v>0</v>
      </c>
      <c r="F184" s="1941">
        <v>0</v>
      </c>
      <c r="G184" s="1942">
        <v>0</v>
      </c>
      <c r="H184" s="1943">
        <v>0</v>
      </c>
      <c r="I184" s="1941">
        <v>0</v>
      </c>
      <c r="J184" s="1944">
        <v>0</v>
      </c>
      <c r="K184" s="1945">
        <v>0</v>
      </c>
      <c r="L184" s="1941">
        <v>0</v>
      </c>
      <c r="M184" s="1942">
        <v>0</v>
      </c>
    </row>
    <row r="185" spans="1:13" ht="11.25" customHeight="1" x14ac:dyDescent="0.25">
      <c r="B185" s="1840"/>
      <c r="C185" s="2426" t="s">
        <v>510</v>
      </c>
      <c r="D185" s="1865"/>
      <c r="E185" s="2168"/>
      <c r="F185" s="2165"/>
      <c r="G185" s="2166"/>
      <c r="H185" s="2167"/>
      <c r="I185" s="2165"/>
      <c r="J185" s="1776"/>
      <c r="K185" s="2168"/>
      <c r="L185" s="2165"/>
      <c r="M185" s="2166"/>
    </row>
    <row r="186" spans="1:13" ht="11.25" customHeight="1" x14ac:dyDescent="0.25">
      <c r="B186" s="1840"/>
      <c r="C186" s="2426" t="s">
        <v>511</v>
      </c>
      <c r="D186" s="1865"/>
      <c r="E186" s="2168"/>
      <c r="F186" s="2165"/>
      <c r="G186" s="2166"/>
      <c r="H186" s="2167"/>
      <c r="I186" s="2165"/>
      <c r="J186" s="1776"/>
      <c r="K186" s="2168"/>
      <c r="L186" s="2165"/>
      <c r="M186" s="2166"/>
    </row>
    <row r="187" spans="1:13" ht="11.25" customHeight="1" x14ac:dyDescent="0.25">
      <c r="B187" s="1840"/>
      <c r="C187" s="2426" t="s">
        <v>690</v>
      </c>
      <c r="D187" s="1865"/>
      <c r="E187" s="2168"/>
      <c r="F187" s="2165"/>
      <c r="G187" s="2166"/>
      <c r="H187" s="2167"/>
      <c r="I187" s="2165"/>
      <c r="J187" s="1776"/>
      <c r="K187" s="2168"/>
      <c r="L187" s="2165"/>
      <c r="M187" s="2166"/>
    </row>
    <row r="188" spans="1:13" ht="11.25" customHeight="1" x14ac:dyDescent="0.25">
      <c r="B188" s="1840"/>
      <c r="C188" s="2427" t="s">
        <v>1298</v>
      </c>
      <c r="D188" s="1865"/>
      <c r="E188" s="1950">
        <v>0</v>
      </c>
      <c r="F188" s="1946">
        <v>0</v>
      </c>
      <c r="G188" s="1947">
        <v>0</v>
      </c>
      <c r="H188" s="1948">
        <v>0</v>
      </c>
      <c r="I188" s="1946">
        <v>0</v>
      </c>
      <c r="J188" s="1949">
        <v>0</v>
      </c>
      <c r="K188" s="1950">
        <v>0</v>
      </c>
      <c r="L188" s="1946">
        <v>0</v>
      </c>
      <c r="M188" s="1947">
        <v>0</v>
      </c>
    </row>
    <row r="189" spans="1:13" ht="11.25" customHeight="1" x14ac:dyDescent="0.25">
      <c r="B189" s="1840"/>
      <c r="C189" s="2428" t="s">
        <v>1336</v>
      </c>
      <c r="D189" s="1865"/>
      <c r="E189" s="1955">
        <v>0</v>
      </c>
      <c r="F189" s="1951">
        <v>0</v>
      </c>
      <c r="G189" s="1952">
        <v>0</v>
      </c>
      <c r="H189" s="1953">
        <v>0</v>
      </c>
      <c r="I189" s="1951">
        <v>0</v>
      </c>
      <c r="J189" s="1954">
        <v>0</v>
      </c>
      <c r="K189" s="1955">
        <v>0</v>
      </c>
      <c r="L189" s="1951">
        <v>0</v>
      </c>
      <c r="M189" s="1952">
        <v>0</v>
      </c>
    </row>
    <row r="190" spans="1:13" ht="11.25" customHeight="1" x14ac:dyDescent="0.25">
      <c r="A190" s="2443" t="s">
        <v>2095</v>
      </c>
      <c r="B190" s="1840"/>
      <c r="C190" s="2425" t="s">
        <v>693</v>
      </c>
      <c r="D190" s="1865"/>
      <c r="E190" s="1960"/>
      <c r="F190" s="1956"/>
      <c r="G190" s="1959"/>
      <c r="H190" s="1958"/>
      <c r="I190" s="1956"/>
      <c r="J190" s="1959"/>
      <c r="K190" s="1960"/>
      <c r="L190" s="1956"/>
      <c r="M190" s="1957"/>
    </row>
    <row r="191" spans="1:13" ht="11.25" customHeight="1" x14ac:dyDescent="0.25">
      <c r="B191" s="1840"/>
      <c r="C191" s="2426" t="s">
        <v>745</v>
      </c>
      <c r="D191" s="1865"/>
      <c r="E191" s="2172"/>
      <c r="F191" s="2170"/>
      <c r="G191" s="2176"/>
      <c r="H191" s="2429"/>
      <c r="I191" s="2170"/>
      <c r="J191" s="2430"/>
      <c r="K191" s="2172"/>
      <c r="L191" s="2170"/>
      <c r="M191" s="2176"/>
    </row>
    <row r="192" spans="1:13" ht="11.25" customHeight="1" x14ac:dyDescent="0.25">
      <c r="B192" s="1840"/>
      <c r="C192" s="2427" t="s">
        <v>378</v>
      </c>
      <c r="D192" s="1865"/>
      <c r="E192" s="1960">
        <v>0</v>
      </c>
      <c r="F192" s="1956">
        <v>0</v>
      </c>
      <c r="G192" s="1957">
        <v>0</v>
      </c>
      <c r="H192" s="1958">
        <v>0</v>
      </c>
      <c r="I192" s="1956">
        <v>0</v>
      </c>
      <c r="J192" s="1959">
        <v>0</v>
      </c>
      <c r="K192" s="1960">
        <v>0</v>
      </c>
      <c r="L192" s="1956">
        <v>0</v>
      </c>
      <c r="M192" s="1957">
        <v>0</v>
      </c>
    </row>
    <row r="193" spans="1:13" ht="11.25" customHeight="1" x14ac:dyDescent="0.25">
      <c r="B193" s="1840"/>
      <c r="C193" s="2426" t="s">
        <v>694</v>
      </c>
      <c r="D193" s="1865"/>
      <c r="E193" s="2168"/>
      <c r="F193" s="2165"/>
      <c r="G193" s="2166"/>
      <c r="H193" s="2167"/>
      <c r="I193" s="2165"/>
      <c r="J193" s="1776"/>
      <c r="K193" s="2168"/>
      <c r="L193" s="2165"/>
      <c r="M193" s="2166"/>
    </row>
    <row r="194" spans="1:13" ht="11.25" customHeight="1" x14ac:dyDescent="0.25">
      <c r="B194" s="1840"/>
      <c r="C194" s="2426" t="s">
        <v>695</v>
      </c>
      <c r="D194" s="1865"/>
      <c r="E194" s="2168"/>
      <c r="F194" s="2165"/>
      <c r="G194" s="2166"/>
      <c r="H194" s="2167"/>
      <c r="I194" s="2165"/>
      <c r="J194" s="1776"/>
      <c r="K194" s="2168"/>
      <c r="L194" s="2165"/>
      <c r="M194" s="2166"/>
    </row>
    <row r="195" spans="1:13" ht="11.25" customHeight="1" x14ac:dyDescent="0.25">
      <c r="B195" s="1840"/>
      <c r="C195" s="2426" t="s">
        <v>885</v>
      </c>
      <c r="D195" s="1865"/>
      <c r="E195" s="2168"/>
      <c r="F195" s="2165"/>
      <c r="G195" s="2166"/>
      <c r="H195" s="2167"/>
      <c r="I195" s="2165"/>
      <c r="J195" s="1776"/>
      <c r="K195" s="2168"/>
      <c r="L195" s="2165"/>
      <c r="M195" s="2166"/>
    </row>
    <row r="196" spans="1:13" ht="11.25" customHeight="1" x14ac:dyDescent="0.25">
      <c r="B196" s="1840"/>
      <c r="C196" s="2426" t="s">
        <v>886</v>
      </c>
      <c r="D196" s="1865"/>
      <c r="E196" s="2168"/>
      <c r="F196" s="2165"/>
      <c r="G196" s="2166"/>
      <c r="H196" s="2167"/>
      <c r="I196" s="2165"/>
      <c r="J196" s="1776"/>
      <c r="K196" s="2168"/>
      <c r="L196" s="2165"/>
      <c r="M196" s="2166"/>
    </row>
    <row r="197" spans="1:13" ht="11.25" customHeight="1" x14ac:dyDescent="0.25">
      <c r="B197" s="1840"/>
      <c r="C197" s="2426" t="s">
        <v>199</v>
      </c>
      <c r="D197" s="1865"/>
      <c r="E197" s="2168"/>
      <c r="F197" s="2165"/>
      <c r="G197" s="2166"/>
      <c r="H197" s="2167"/>
      <c r="I197" s="2165"/>
      <c r="J197" s="1776"/>
      <c r="K197" s="2168"/>
      <c r="L197" s="2165"/>
      <c r="M197" s="2166"/>
    </row>
    <row r="198" spans="1:13" ht="11.25" customHeight="1" x14ac:dyDescent="0.25">
      <c r="B198" s="1840"/>
      <c r="C198" s="2427" t="s">
        <v>1298</v>
      </c>
      <c r="D198" s="1865"/>
      <c r="E198" s="1950">
        <v>0</v>
      </c>
      <c r="F198" s="1946">
        <v>0</v>
      </c>
      <c r="G198" s="1947">
        <v>0</v>
      </c>
      <c r="H198" s="1948">
        <v>0</v>
      </c>
      <c r="I198" s="1946">
        <v>0</v>
      </c>
      <c r="J198" s="1949">
        <v>0</v>
      </c>
      <c r="K198" s="1950">
        <v>0</v>
      </c>
      <c r="L198" s="1946">
        <v>0</v>
      </c>
      <c r="M198" s="1947">
        <v>0</v>
      </c>
    </row>
    <row r="199" spans="1:13" ht="11.25" customHeight="1" x14ac:dyDescent="0.25">
      <c r="B199" s="1840"/>
      <c r="C199" s="2428" t="s">
        <v>1336</v>
      </c>
      <c r="D199" s="1865"/>
      <c r="E199" s="1955">
        <v>0</v>
      </c>
      <c r="F199" s="1951">
        <v>0</v>
      </c>
      <c r="G199" s="1952">
        <v>0</v>
      </c>
      <c r="H199" s="1953">
        <v>0</v>
      </c>
      <c r="I199" s="1951">
        <v>0</v>
      </c>
      <c r="J199" s="1954">
        <v>0</v>
      </c>
      <c r="K199" s="1955">
        <v>0</v>
      </c>
      <c r="L199" s="1951">
        <v>0</v>
      </c>
      <c r="M199" s="1952">
        <v>0</v>
      </c>
    </row>
    <row r="200" spans="1:13" ht="5.0999999999999996" customHeight="1" x14ac:dyDescent="0.25">
      <c r="B200" s="1840"/>
      <c r="C200" s="2431"/>
      <c r="D200" s="1866"/>
      <c r="E200" s="919"/>
      <c r="F200" s="915"/>
      <c r="G200" s="916"/>
      <c r="H200" s="917"/>
      <c r="I200" s="915"/>
      <c r="J200" s="918"/>
      <c r="K200" s="919"/>
      <c r="L200" s="915"/>
      <c r="M200" s="916"/>
    </row>
    <row r="201" spans="1:13" ht="24.95" customHeight="1" x14ac:dyDescent="0.25">
      <c r="A201" s="2741" t="s">
        <v>2096</v>
      </c>
      <c r="B201" s="1833"/>
      <c r="C201" s="2419"/>
      <c r="D201" s="2420"/>
      <c r="E201" s="1834" t="s">
        <v>2478</v>
      </c>
      <c r="F201" s="896" t="s">
        <v>2479</v>
      </c>
      <c r="G201" s="1998" t="s">
        <v>2480</v>
      </c>
      <c r="H201" s="2708" t="s">
        <v>2481</v>
      </c>
      <c r="I201" s="2709"/>
      <c r="J201" s="2710"/>
      <c r="K201" s="2708" t="s">
        <v>2482</v>
      </c>
      <c r="L201" s="2709"/>
      <c r="M201" s="2710"/>
    </row>
    <row r="202" spans="1:13" ht="24.95" customHeight="1" x14ac:dyDescent="0.25">
      <c r="A202" s="2741"/>
      <c r="B202" s="1835" t="s">
        <v>2006</v>
      </c>
      <c r="C202" s="2421"/>
      <c r="D202" s="2422"/>
      <c r="E202" s="1836" t="s">
        <v>319</v>
      </c>
      <c r="F202" s="1837" t="s">
        <v>319</v>
      </c>
      <c r="G202" s="1838" t="s">
        <v>319</v>
      </c>
      <c r="H202" s="1839" t="s">
        <v>467</v>
      </c>
      <c r="I202" s="1837" t="s">
        <v>1807</v>
      </c>
      <c r="J202" s="1838" t="s">
        <v>1808</v>
      </c>
      <c r="K202" s="1839" t="s">
        <v>2483</v>
      </c>
      <c r="L202" s="1837" t="s">
        <v>2484</v>
      </c>
      <c r="M202" s="1838" t="s">
        <v>2485</v>
      </c>
    </row>
    <row r="203" spans="1:13" ht="11.25" customHeight="1" x14ac:dyDescent="0.25">
      <c r="A203" s="2444" t="s">
        <v>2097</v>
      </c>
      <c r="B203" s="1840"/>
      <c r="C203" s="2423" t="s">
        <v>201</v>
      </c>
      <c r="D203" s="1865"/>
      <c r="E203" s="2424"/>
      <c r="F203" s="1841"/>
      <c r="G203" s="1842"/>
      <c r="H203" s="1843"/>
      <c r="I203" s="1844"/>
      <c r="J203" s="1845"/>
      <c r="K203" s="1846"/>
      <c r="L203" s="1844"/>
      <c r="M203" s="1847"/>
    </row>
    <row r="204" spans="1:13" ht="11.25" customHeight="1" x14ac:dyDescent="0.25">
      <c r="A204" s="1849"/>
      <c r="B204" s="1840"/>
      <c r="C204" s="2425" t="s">
        <v>1869</v>
      </c>
      <c r="D204" s="1865"/>
      <c r="E204" s="907"/>
      <c r="F204" s="903"/>
      <c r="G204" s="906"/>
      <c r="H204" s="854"/>
      <c r="I204" s="852"/>
      <c r="J204" s="855"/>
      <c r="K204" s="856"/>
      <c r="L204" s="852"/>
      <c r="M204" s="853"/>
    </row>
    <row r="205" spans="1:13" ht="11.25" customHeight="1" x14ac:dyDescent="0.25">
      <c r="A205" s="1849"/>
      <c r="B205" s="1840"/>
      <c r="C205" s="2426" t="s">
        <v>1656</v>
      </c>
      <c r="D205" s="1865"/>
      <c r="E205" s="2168"/>
      <c r="F205" s="2165"/>
      <c r="G205" s="2166"/>
      <c r="H205" s="2167"/>
      <c r="I205" s="2165"/>
      <c r="J205" s="1776"/>
      <c r="K205" s="2168"/>
      <c r="L205" s="2165"/>
      <c r="M205" s="2166"/>
    </row>
    <row r="206" spans="1:13" ht="11.25" customHeight="1" x14ac:dyDescent="0.25">
      <c r="A206" s="1849"/>
      <c r="B206" s="1840"/>
      <c r="C206" s="2426" t="s">
        <v>1868</v>
      </c>
      <c r="D206" s="1865"/>
      <c r="E206" s="2168"/>
      <c r="F206" s="2165"/>
      <c r="G206" s="2166"/>
      <c r="H206" s="2167"/>
      <c r="I206" s="2165"/>
      <c r="J206" s="1776"/>
      <c r="K206" s="2168"/>
      <c r="L206" s="2165"/>
      <c r="M206" s="2166"/>
    </row>
    <row r="207" spans="1:13" ht="11.25" customHeight="1" x14ac:dyDescent="0.25">
      <c r="A207" s="1849"/>
      <c r="B207" s="1848">
        <v>8</v>
      </c>
      <c r="C207" s="2426" t="s">
        <v>131</v>
      </c>
      <c r="D207" s="1865"/>
      <c r="E207" s="2168"/>
      <c r="F207" s="2165"/>
      <c r="G207" s="2166"/>
      <c r="H207" s="2167"/>
      <c r="I207" s="2165"/>
      <c r="J207" s="1776"/>
      <c r="K207" s="2168"/>
      <c r="L207" s="2165"/>
      <c r="M207" s="2166"/>
    </row>
    <row r="208" spans="1:13" ht="11.25" customHeight="1" x14ac:dyDescent="0.25">
      <c r="A208" s="1849"/>
      <c r="B208" s="1848">
        <v>10</v>
      </c>
      <c r="C208" s="2426" t="s">
        <v>132</v>
      </c>
      <c r="D208" s="1865"/>
      <c r="E208" s="2168"/>
      <c r="F208" s="2165"/>
      <c r="G208" s="2166"/>
      <c r="H208" s="2167"/>
      <c r="I208" s="2165"/>
      <c r="J208" s="1776"/>
      <c r="K208" s="2168"/>
      <c r="L208" s="2165"/>
      <c r="M208" s="2166"/>
    </row>
    <row r="209" spans="1:13" ht="11.25" customHeight="1" x14ac:dyDescent="0.25">
      <c r="A209" s="1849"/>
      <c r="B209" s="1848"/>
      <c r="C209" s="2427" t="s">
        <v>378</v>
      </c>
      <c r="D209" s="1865"/>
      <c r="E209" s="1945">
        <v>0</v>
      </c>
      <c r="F209" s="1941">
        <v>0</v>
      </c>
      <c r="G209" s="1942">
        <v>0</v>
      </c>
      <c r="H209" s="1943">
        <v>0</v>
      </c>
      <c r="I209" s="1941">
        <v>0</v>
      </c>
      <c r="J209" s="1944">
        <v>0</v>
      </c>
      <c r="K209" s="1945">
        <v>0</v>
      </c>
      <c r="L209" s="1941">
        <v>0</v>
      </c>
      <c r="M209" s="1942">
        <v>0</v>
      </c>
    </row>
    <row r="210" spans="1:13" ht="11.25" customHeight="1" x14ac:dyDescent="0.25">
      <c r="A210" s="1849"/>
      <c r="B210" s="1848">
        <v>9</v>
      </c>
      <c r="C210" s="2426" t="s">
        <v>507</v>
      </c>
      <c r="D210" s="1865"/>
      <c r="E210" s="2168"/>
      <c r="F210" s="2165"/>
      <c r="G210" s="2166"/>
      <c r="H210" s="2167"/>
      <c r="I210" s="2165"/>
      <c r="J210" s="1776"/>
      <c r="K210" s="2168"/>
      <c r="L210" s="2165"/>
      <c r="M210" s="2166"/>
    </row>
    <row r="211" spans="1:13" ht="11.25" customHeight="1" x14ac:dyDescent="0.25">
      <c r="A211" s="1849"/>
      <c r="B211" s="1848">
        <v>10</v>
      </c>
      <c r="C211" s="2426" t="s">
        <v>508</v>
      </c>
      <c r="D211" s="1865"/>
      <c r="E211" s="2168"/>
      <c r="F211" s="2165"/>
      <c r="G211" s="2166"/>
      <c r="H211" s="2167"/>
      <c r="I211" s="2165"/>
      <c r="J211" s="1776"/>
      <c r="K211" s="2168"/>
      <c r="L211" s="2165"/>
      <c r="M211" s="2166"/>
    </row>
    <row r="212" spans="1:13" ht="11.25" customHeight="1" x14ac:dyDescent="0.25">
      <c r="A212" s="1849"/>
      <c r="B212" s="1840"/>
      <c r="C212" s="2426" t="s">
        <v>976</v>
      </c>
      <c r="D212" s="1865"/>
      <c r="E212" s="2168"/>
      <c r="F212" s="2165"/>
      <c r="G212" s="2166"/>
      <c r="H212" s="2167"/>
      <c r="I212" s="2165"/>
      <c r="J212" s="1776"/>
      <c r="K212" s="2168"/>
      <c r="L212" s="2165"/>
      <c r="M212" s="2166"/>
    </row>
    <row r="213" spans="1:13" ht="11.25" customHeight="1" x14ac:dyDescent="0.25">
      <c r="A213" s="1849"/>
      <c r="B213" s="1840"/>
      <c r="C213" s="2427" t="s">
        <v>1298</v>
      </c>
      <c r="D213" s="1865"/>
      <c r="E213" s="1950">
        <v>0</v>
      </c>
      <c r="F213" s="1946">
        <v>0</v>
      </c>
      <c r="G213" s="1947">
        <v>0</v>
      </c>
      <c r="H213" s="1948">
        <v>0</v>
      </c>
      <c r="I213" s="1946">
        <v>0</v>
      </c>
      <c r="J213" s="1949">
        <v>0</v>
      </c>
      <c r="K213" s="1950">
        <v>0</v>
      </c>
      <c r="L213" s="1946">
        <v>0</v>
      </c>
      <c r="M213" s="1947">
        <v>0</v>
      </c>
    </row>
    <row r="214" spans="1:13" ht="11.25" customHeight="1" x14ac:dyDescent="0.25">
      <c r="B214" s="1840"/>
      <c r="C214" s="2428" t="s">
        <v>1336</v>
      </c>
      <c r="D214" s="1865"/>
      <c r="E214" s="1955">
        <v>0</v>
      </c>
      <c r="F214" s="1951">
        <v>0</v>
      </c>
      <c r="G214" s="1952">
        <v>0</v>
      </c>
      <c r="H214" s="1953">
        <v>0</v>
      </c>
      <c r="I214" s="1951">
        <v>0</v>
      </c>
      <c r="J214" s="1954">
        <v>0</v>
      </c>
      <c r="K214" s="1955">
        <v>0</v>
      </c>
      <c r="L214" s="1951">
        <v>0</v>
      </c>
      <c r="M214" s="1952">
        <v>0</v>
      </c>
    </row>
    <row r="215" spans="1:13" ht="11.25" customHeight="1" x14ac:dyDescent="0.25">
      <c r="A215" s="2444" t="s">
        <v>2097</v>
      </c>
      <c r="B215" s="1840"/>
      <c r="C215" s="2425" t="s">
        <v>1337</v>
      </c>
      <c r="D215" s="1865"/>
      <c r="E215" s="1960"/>
      <c r="F215" s="1956"/>
      <c r="G215" s="1959"/>
      <c r="H215" s="1958"/>
      <c r="I215" s="1956"/>
      <c r="J215" s="1959"/>
      <c r="K215" s="1960"/>
      <c r="L215" s="1956"/>
      <c r="M215" s="1957"/>
    </row>
    <row r="216" spans="1:13" ht="11.25" customHeight="1" x14ac:dyDescent="0.25">
      <c r="A216" s="1849"/>
      <c r="B216" s="1840"/>
      <c r="C216" s="2426" t="s">
        <v>1338</v>
      </c>
      <c r="D216" s="1865"/>
      <c r="E216" s="2168"/>
      <c r="F216" s="2165"/>
      <c r="G216" s="2166"/>
      <c r="H216" s="2167"/>
      <c r="I216" s="2165"/>
      <c r="J216" s="1776"/>
      <c r="K216" s="2168"/>
      <c r="L216" s="2165"/>
      <c r="M216" s="2166"/>
    </row>
    <row r="217" spans="1:13" ht="11.25" customHeight="1" x14ac:dyDescent="0.25">
      <c r="A217" s="1849"/>
      <c r="B217" s="1840"/>
      <c r="C217" s="2426" t="s">
        <v>1339</v>
      </c>
      <c r="D217" s="1865"/>
      <c r="E217" s="2168"/>
      <c r="F217" s="2165"/>
      <c r="G217" s="2166"/>
      <c r="H217" s="2167"/>
      <c r="I217" s="2165"/>
      <c r="J217" s="1776"/>
      <c r="K217" s="2168"/>
      <c r="L217" s="2165"/>
      <c r="M217" s="2166"/>
    </row>
    <row r="218" spans="1:13" ht="11.25" customHeight="1" x14ac:dyDescent="0.25">
      <c r="A218" s="1849"/>
      <c r="B218" s="1840"/>
      <c r="C218" s="2426" t="s">
        <v>1411</v>
      </c>
      <c r="D218" s="1865"/>
      <c r="E218" s="2168"/>
      <c r="F218" s="2165"/>
      <c r="G218" s="2166"/>
      <c r="H218" s="2167"/>
      <c r="I218" s="2165"/>
      <c r="J218" s="1776"/>
      <c r="K218" s="2168"/>
      <c r="L218" s="2165"/>
      <c r="M218" s="2166"/>
    </row>
    <row r="219" spans="1:13" ht="11.25" customHeight="1" x14ac:dyDescent="0.25">
      <c r="A219" s="1849"/>
      <c r="B219" s="1840"/>
      <c r="C219" s="2426" t="s">
        <v>242</v>
      </c>
      <c r="D219" s="1865"/>
      <c r="E219" s="2168"/>
      <c r="F219" s="2165"/>
      <c r="G219" s="2166"/>
      <c r="H219" s="2167"/>
      <c r="I219" s="2165"/>
      <c r="J219" s="1776"/>
      <c r="K219" s="2168"/>
      <c r="L219" s="2165"/>
      <c r="M219" s="2166"/>
    </row>
    <row r="220" spans="1:13" ht="11.25" customHeight="1" x14ac:dyDescent="0.25">
      <c r="A220" s="1849"/>
      <c r="B220" s="1840"/>
      <c r="C220" s="2426" t="s">
        <v>244</v>
      </c>
      <c r="D220" s="1865"/>
      <c r="E220" s="2168"/>
      <c r="F220" s="2165"/>
      <c r="G220" s="2166"/>
      <c r="H220" s="2167"/>
      <c r="I220" s="2165"/>
      <c r="J220" s="1776"/>
      <c r="K220" s="2168"/>
      <c r="L220" s="2165"/>
      <c r="M220" s="2166"/>
    </row>
    <row r="221" spans="1:13" ht="11.25" customHeight="1" x14ac:dyDescent="0.25">
      <c r="A221" s="1849"/>
      <c r="B221" s="1840"/>
      <c r="C221" s="2427" t="s">
        <v>378</v>
      </c>
      <c r="D221" s="1865"/>
      <c r="E221" s="1945">
        <v>0</v>
      </c>
      <c r="F221" s="1941">
        <v>0</v>
      </c>
      <c r="G221" s="1942">
        <v>0</v>
      </c>
      <c r="H221" s="1943">
        <v>0</v>
      </c>
      <c r="I221" s="1941">
        <v>0</v>
      </c>
      <c r="J221" s="1944">
        <v>0</v>
      </c>
      <c r="K221" s="1945">
        <v>0</v>
      </c>
      <c r="L221" s="1941">
        <v>0</v>
      </c>
      <c r="M221" s="1942">
        <v>0</v>
      </c>
    </row>
    <row r="222" spans="1:13" ht="11.25" customHeight="1" x14ac:dyDescent="0.25">
      <c r="A222" s="1849"/>
      <c r="B222" s="1840"/>
      <c r="C222" s="2426" t="s">
        <v>243</v>
      </c>
      <c r="D222" s="1865"/>
      <c r="E222" s="2168"/>
      <c r="F222" s="2165"/>
      <c r="G222" s="2166"/>
      <c r="H222" s="2167"/>
      <c r="I222" s="2165"/>
      <c r="J222" s="1776"/>
      <c r="K222" s="2168"/>
      <c r="L222" s="2165"/>
      <c r="M222" s="2166"/>
    </row>
    <row r="223" spans="1:13" ht="11.25" customHeight="1" x14ac:dyDescent="0.25">
      <c r="A223" s="1849"/>
      <c r="B223" s="1840"/>
      <c r="C223" s="2426" t="s">
        <v>1241</v>
      </c>
      <c r="D223" s="1865"/>
      <c r="E223" s="2168"/>
      <c r="F223" s="2165"/>
      <c r="G223" s="2166"/>
      <c r="H223" s="2167"/>
      <c r="I223" s="2165"/>
      <c r="J223" s="1776"/>
      <c r="K223" s="2168"/>
      <c r="L223" s="2165"/>
      <c r="M223" s="2166"/>
    </row>
    <row r="224" spans="1:13" ht="11.25" customHeight="1" x14ac:dyDescent="0.25">
      <c r="A224" s="1849"/>
      <c r="B224" s="1840"/>
      <c r="C224" s="2426" t="s">
        <v>1413</v>
      </c>
      <c r="D224" s="1865"/>
      <c r="E224" s="2168"/>
      <c r="F224" s="2165"/>
      <c r="G224" s="2166"/>
      <c r="H224" s="2167"/>
      <c r="I224" s="2165"/>
      <c r="J224" s="1776"/>
      <c r="K224" s="2168"/>
      <c r="L224" s="2165"/>
      <c r="M224" s="2166"/>
    </row>
    <row r="225" spans="1:13" ht="11.25" customHeight="1" x14ac:dyDescent="0.25">
      <c r="A225" s="1849"/>
      <c r="B225" s="1840"/>
      <c r="C225" s="2427" t="s">
        <v>1298</v>
      </c>
      <c r="D225" s="1865"/>
      <c r="E225" s="1950">
        <v>0</v>
      </c>
      <c r="F225" s="1946">
        <v>0</v>
      </c>
      <c r="G225" s="1947">
        <v>0</v>
      </c>
      <c r="H225" s="1948">
        <v>0</v>
      </c>
      <c r="I225" s="1946">
        <v>0</v>
      </c>
      <c r="J225" s="1949">
        <v>0</v>
      </c>
      <c r="K225" s="1950">
        <v>0</v>
      </c>
      <c r="L225" s="1946">
        <v>0</v>
      </c>
      <c r="M225" s="1947">
        <v>0</v>
      </c>
    </row>
    <row r="226" spans="1:13" ht="11.25" customHeight="1" x14ac:dyDescent="0.25">
      <c r="B226" s="1840"/>
      <c r="C226" s="2428" t="s">
        <v>1336</v>
      </c>
      <c r="D226" s="1865"/>
      <c r="E226" s="1955">
        <v>0</v>
      </c>
      <c r="F226" s="1951">
        <v>0</v>
      </c>
      <c r="G226" s="1952">
        <v>0</v>
      </c>
      <c r="H226" s="1953">
        <v>0</v>
      </c>
      <c r="I226" s="1951">
        <v>0</v>
      </c>
      <c r="J226" s="1954">
        <v>0</v>
      </c>
      <c r="K226" s="1955">
        <v>0</v>
      </c>
      <c r="L226" s="1951">
        <v>0</v>
      </c>
      <c r="M226" s="1952">
        <v>0</v>
      </c>
    </row>
    <row r="227" spans="1:13" ht="11.25" customHeight="1" x14ac:dyDescent="0.25">
      <c r="A227" s="2444" t="s">
        <v>2097</v>
      </c>
      <c r="B227" s="1840"/>
      <c r="C227" s="2425" t="s">
        <v>689</v>
      </c>
      <c r="D227" s="1865"/>
      <c r="E227" s="1960"/>
      <c r="F227" s="1956"/>
      <c r="G227" s="1959"/>
      <c r="H227" s="1958"/>
      <c r="I227" s="1956"/>
      <c r="J227" s="1959"/>
      <c r="K227" s="1960"/>
      <c r="L227" s="1956"/>
      <c r="M227" s="1957"/>
    </row>
    <row r="228" spans="1:13" ht="11.25" customHeight="1" x14ac:dyDescent="0.25">
      <c r="A228" s="1849"/>
      <c r="B228" s="1840"/>
      <c r="C228" s="2426" t="s">
        <v>1242</v>
      </c>
      <c r="D228" s="1865"/>
      <c r="E228" s="2168"/>
      <c r="F228" s="2165"/>
      <c r="G228" s="2166"/>
      <c r="H228" s="2167"/>
      <c r="I228" s="2165"/>
      <c r="J228" s="1776"/>
      <c r="K228" s="2168"/>
      <c r="L228" s="2165"/>
      <c r="M228" s="2166"/>
    </row>
    <row r="229" spans="1:13" ht="11.25" customHeight="1" x14ac:dyDescent="0.25">
      <c r="A229" s="1849"/>
      <c r="B229" s="1840"/>
      <c r="C229" s="2426" t="s">
        <v>509</v>
      </c>
      <c r="D229" s="1865"/>
      <c r="E229" s="2168"/>
      <c r="F229" s="2165"/>
      <c r="G229" s="2166"/>
      <c r="H229" s="2167"/>
      <c r="I229" s="2165"/>
      <c r="J229" s="1776"/>
      <c r="K229" s="2168"/>
      <c r="L229" s="2165"/>
      <c r="M229" s="2166"/>
    </row>
    <row r="230" spans="1:13" ht="11.25" customHeight="1" x14ac:dyDescent="0.25">
      <c r="A230" s="1849"/>
      <c r="B230" s="1840"/>
      <c r="C230" s="2427" t="s">
        <v>378</v>
      </c>
      <c r="D230" s="1865"/>
      <c r="E230" s="1945">
        <v>0</v>
      </c>
      <c r="F230" s="1941">
        <v>0</v>
      </c>
      <c r="G230" s="1942">
        <v>0</v>
      </c>
      <c r="H230" s="1943">
        <v>0</v>
      </c>
      <c r="I230" s="1941">
        <v>0</v>
      </c>
      <c r="J230" s="1944">
        <v>0</v>
      </c>
      <c r="K230" s="1945">
        <v>0</v>
      </c>
      <c r="L230" s="1941">
        <v>0</v>
      </c>
      <c r="M230" s="1942">
        <v>0</v>
      </c>
    </row>
    <row r="231" spans="1:13" ht="11.25" customHeight="1" x14ac:dyDescent="0.25">
      <c r="A231" s="1849"/>
      <c r="B231" s="1840"/>
      <c r="C231" s="2426" t="s">
        <v>510</v>
      </c>
      <c r="D231" s="1865"/>
      <c r="E231" s="2168"/>
      <c r="F231" s="2165"/>
      <c r="G231" s="2166"/>
      <c r="H231" s="2167"/>
      <c r="I231" s="2165"/>
      <c r="J231" s="1776"/>
      <c r="K231" s="2168"/>
      <c r="L231" s="2165"/>
      <c r="M231" s="2166"/>
    </row>
    <row r="232" spans="1:13" ht="11.25" customHeight="1" x14ac:dyDescent="0.25">
      <c r="A232" s="1849"/>
      <c r="B232" s="1840"/>
      <c r="C232" s="2426" t="s">
        <v>511</v>
      </c>
      <c r="D232" s="1865"/>
      <c r="E232" s="2168"/>
      <c r="F232" s="2165"/>
      <c r="G232" s="2166"/>
      <c r="H232" s="2167"/>
      <c r="I232" s="2165"/>
      <c r="J232" s="1776"/>
      <c r="K232" s="2168"/>
      <c r="L232" s="2165"/>
      <c r="M232" s="2166"/>
    </row>
    <row r="233" spans="1:13" ht="11.25" customHeight="1" x14ac:dyDescent="0.25">
      <c r="A233" s="1849"/>
      <c r="B233" s="1840"/>
      <c r="C233" s="2426" t="s">
        <v>690</v>
      </c>
      <c r="D233" s="1865"/>
      <c r="E233" s="2168"/>
      <c r="F233" s="2165"/>
      <c r="G233" s="2166"/>
      <c r="H233" s="2167"/>
      <c r="I233" s="2165"/>
      <c r="J233" s="1776"/>
      <c r="K233" s="2168"/>
      <c r="L233" s="2165"/>
      <c r="M233" s="2166"/>
    </row>
    <row r="234" spans="1:13" ht="11.25" customHeight="1" x14ac:dyDescent="0.25">
      <c r="A234" s="1849"/>
      <c r="B234" s="1840"/>
      <c r="C234" s="2427" t="s">
        <v>1298</v>
      </c>
      <c r="D234" s="1865"/>
      <c r="E234" s="1950">
        <v>0</v>
      </c>
      <c r="F234" s="1946">
        <v>0</v>
      </c>
      <c r="G234" s="1947">
        <v>0</v>
      </c>
      <c r="H234" s="1948">
        <v>0</v>
      </c>
      <c r="I234" s="1946">
        <v>0</v>
      </c>
      <c r="J234" s="1949">
        <v>0</v>
      </c>
      <c r="K234" s="1950">
        <v>0</v>
      </c>
      <c r="L234" s="1946">
        <v>0</v>
      </c>
      <c r="M234" s="1947">
        <v>0</v>
      </c>
    </row>
    <row r="235" spans="1:13" ht="11.25" customHeight="1" x14ac:dyDescent="0.25">
      <c r="A235" s="1849"/>
      <c r="B235" s="1840"/>
      <c r="C235" s="2428" t="s">
        <v>1336</v>
      </c>
      <c r="D235" s="1865"/>
      <c r="E235" s="1955">
        <v>0</v>
      </c>
      <c r="F235" s="1951">
        <v>0</v>
      </c>
      <c r="G235" s="1952">
        <v>0</v>
      </c>
      <c r="H235" s="1953">
        <v>0</v>
      </c>
      <c r="I235" s="1951">
        <v>0</v>
      </c>
      <c r="J235" s="1954">
        <v>0</v>
      </c>
      <c r="K235" s="1955">
        <v>0</v>
      </c>
      <c r="L235" s="1951">
        <v>0</v>
      </c>
      <c r="M235" s="1952">
        <v>0</v>
      </c>
    </row>
    <row r="236" spans="1:13" ht="11.25" customHeight="1" x14ac:dyDescent="0.25">
      <c r="A236" s="2444" t="s">
        <v>2097</v>
      </c>
      <c r="B236" s="1840"/>
      <c r="C236" s="2425" t="s">
        <v>693</v>
      </c>
      <c r="D236" s="1865"/>
      <c r="E236" s="1960"/>
      <c r="F236" s="1956"/>
      <c r="G236" s="1959"/>
      <c r="H236" s="1958"/>
      <c r="I236" s="1956"/>
      <c r="J236" s="1959"/>
      <c r="K236" s="1960"/>
      <c r="L236" s="1956"/>
      <c r="M236" s="1957"/>
    </row>
    <row r="237" spans="1:13" ht="11.25" customHeight="1" x14ac:dyDescent="0.25">
      <c r="A237" s="1849"/>
      <c r="B237" s="1840"/>
      <c r="C237" s="2426" t="s">
        <v>745</v>
      </c>
      <c r="D237" s="1865"/>
      <c r="E237" s="2172"/>
      <c r="F237" s="2170"/>
      <c r="G237" s="2176"/>
      <c r="H237" s="2429"/>
      <c r="I237" s="2170"/>
      <c r="J237" s="2430"/>
      <c r="K237" s="2172"/>
      <c r="L237" s="2170"/>
      <c r="M237" s="2176"/>
    </row>
    <row r="238" spans="1:13" ht="11.25" customHeight="1" x14ac:dyDescent="0.25">
      <c r="A238" s="1849"/>
      <c r="B238" s="1840"/>
      <c r="C238" s="2427" t="s">
        <v>378</v>
      </c>
      <c r="D238" s="1865"/>
      <c r="E238" s="1960">
        <v>0</v>
      </c>
      <c r="F238" s="1956">
        <v>0</v>
      </c>
      <c r="G238" s="1957">
        <v>0</v>
      </c>
      <c r="H238" s="1958">
        <v>0</v>
      </c>
      <c r="I238" s="1956">
        <v>0</v>
      </c>
      <c r="J238" s="1959">
        <v>0</v>
      </c>
      <c r="K238" s="1960">
        <v>0</v>
      </c>
      <c r="L238" s="1956">
        <v>0</v>
      </c>
      <c r="M238" s="1957">
        <v>0</v>
      </c>
    </row>
    <row r="239" spans="1:13" ht="11.25" customHeight="1" x14ac:dyDescent="0.25">
      <c r="A239" s="1849"/>
      <c r="B239" s="1840"/>
      <c r="C239" s="2426" t="s">
        <v>694</v>
      </c>
      <c r="D239" s="1865"/>
      <c r="E239" s="2168"/>
      <c r="F239" s="2165"/>
      <c r="G239" s="2166"/>
      <c r="H239" s="2167"/>
      <c r="I239" s="2165"/>
      <c r="J239" s="1776"/>
      <c r="K239" s="2168"/>
      <c r="L239" s="2165"/>
      <c r="M239" s="2166"/>
    </row>
    <row r="240" spans="1:13" ht="11.25" customHeight="1" x14ac:dyDescent="0.25">
      <c r="A240" s="1849"/>
      <c r="B240" s="1840"/>
      <c r="C240" s="2426" t="s">
        <v>695</v>
      </c>
      <c r="D240" s="1865"/>
      <c r="E240" s="2168"/>
      <c r="F240" s="2165"/>
      <c r="G240" s="2166"/>
      <c r="H240" s="2167"/>
      <c r="I240" s="2165"/>
      <c r="J240" s="1776"/>
      <c r="K240" s="2168"/>
      <c r="L240" s="2165"/>
      <c r="M240" s="2166"/>
    </row>
    <row r="241" spans="1:13" ht="11.25" customHeight="1" x14ac:dyDescent="0.25">
      <c r="A241" s="1849"/>
      <c r="B241" s="1840"/>
      <c r="C241" s="2426" t="s">
        <v>885</v>
      </c>
      <c r="D241" s="1865"/>
      <c r="E241" s="2168"/>
      <c r="F241" s="2165"/>
      <c r="G241" s="2166"/>
      <c r="H241" s="2167"/>
      <c r="I241" s="2165"/>
      <c r="J241" s="1776"/>
      <c r="K241" s="2168"/>
      <c r="L241" s="2165"/>
      <c r="M241" s="2166"/>
    </row>
    <row r="242" spans="1:13" ht="11.25" customHeight="1" x14ac:dyDescent="0.25">
      <c r="A242" s="1849"/>
      <c r="B242" s="1840"/>
      <c r="C242" s="2426" t="s">
        <v>886</v>
      </c>
      <c r="D242" s="1865"/>
      <c r="E242" s="2168"/>
      <c r="F242" s="2165"/>
      <c r="G242" s="2166"/>
      <c r="H242" s="2167"/>
      <c r="I242" s="2165"/>
      <c r="J242" s="1776"/>
      <c r="K242" s="2168"/>
      <c r="L242" s="2165"/>
      <c r="M242" s="2166"/>
    </row>
    <row r="243" spans="1:13" ht="11.25" customHeight="1" x14ac:dyDescent="0.25">
      <c r="A243" s="1849"/>
      <c r="B243" s="1840"/>
      <c r="C243" s="2426" t="s">
        <v>199</v>
      </c>
      <c r="D243" s="1865"/>
      <c r="E243" s="2168"/>
      <c r="F243" s="2165"/>
      <c r="G243" s="2166"/>
      <c r="H243" s="2167"/>
      <c r="I243" s="2165"/>
      <c r="J243" s="1776"/>
      <c r="K243" s="2168"/>
      <c r="L243" s="2165"/>
      <c r="M243" s="2166"/>
    </row>
    <row r="244" spans="1:13" ht="11.25" customHeight="1" x14ac:dyDescent="0.25">
      <c r="A244" s="1849"/>
      <c r="B244" s="1840"/>
      <c r="C244" s="2427" t="s">
        <v>1298</v>
      </c>
      <c r="D244" s="1865"/>
      <c r="E244" s="1950">
        <v>0</v>
      </c>
      <c r="F244" s="1946">
        <v>0</v>
      </c>
      <c r="G244" s="1947">
        <v>0</v>
      </c>
      <c r="H244" s="1948">
        <v>0</v>
      </c>
      <c r="I244" s="1946">
        <v>0</v>
      </c>
      <c r="J244" s="1949">
        <v>0</v>
      </c>
      <c r="K244" s="1950">
        <v>0</v>
      </c>
      <c r="L244" s="1946">
        <v>0</v>
      </c>
      <c r="M244" s="1947">
        <v>0</v>
      </c>
    </row>
    <row r="245" spans="1:13" ht="11.25" customHeight="1" x14ac:dyDescent="0.25">
      <c r="B245" s="1840"/>
      <c r="C245" s="2428" t="s">
        <v>1336</v>
      </c>
      <c r="D245" s="1865"/>
      <c r="E245" s="1955">
        <v>0</v>
      </c>
      <c r="F245" s="1951">
        <v>0</v>
      </c>
      <c r="G245" s="1952">
        <v>0</v>
      </c>
      <c r="H245" s="1953">
        <v>0</v>
      </c>
      <c r="I245" s="1951">
        <v>0</v>
      </c>
      <c r="J245" s="1954">
        <v>0</v>
      </c>
      <c r="K245" s="1955">
        <v>0</v>
      </c>
      <c r="L245" s="1951">
        <v>0</v>
      </c>
      <c r="M245" s="1952">
        <v>0</v>
      </c>
    </row>
    <row r="246" spans="1:13" ht="5.0999999999999996" customHeight="1" x14ac:dyDescent="0.25">
      <c r="A246" s="2421"/>
      <c r="B246" s="1835"/>
      <c r="C246" s="2432"/>
      <c r="D246" s="1867"/>
      <c r="E246" s="1850"/>
      <c r="F246" s="1851"/>
      <c r="G246" s="1852"/>
      <c r="H246" s="1853"/>
      <c r="I246" s="1851"/>
      <c r="J246" s="1854"/>
      <c r="K246" s="1850"/>
      <c r="L246" s="1851"/>
      <c r="M246" s="1852"/>
    </row>
    <row r="247" spans="1:13" ht="11.25" customHeight="1" x14ac:dyDescent="0.25">
      <c r="B247" s="242"/>
    </row>
    <row r="248" spans="1:13" ht="11.25" customHeight="1" x14ac:dyDescent="0.25">
      <c r="A248" s="2445" t="s">
        <v>986</v>
      </c>
      <c r="B248" s="1855"/>
      <c r="C248" s="873"/>
      <c r="D248" s="873"/>
      <c r="E248" s="873"/>
      <c r="F248" s="873"/>
      <c r="G248" s="873"/>
      <c r="H248" s="873"/>
      <c r="I248" s="873"/>
      <c r="J248" s="873"/>
      <c r="K248" s="873"/>
      <c r="L248" s="873"/>
      <c r="M248" s="873"/>
    </row>
    <row r="249" spans="1:13" ht="11.25" customHeight="1" x14ac:dyDescent="0.25">
      <c r="A249" s="2281" t="s">
        <v>2202</v>
      </c>
      <c r="B249" s="647"/>
      <c r="C249" s="873"/>
      <c r="D249" s="873"/>
      <c r="E249" s="873"/>
      <c r="F249" s="873"/>
      <c r="G249" s="873"/>
      <c r="H249" s="873"/>
      <c r="I249" s="873"/>
      <c r="J249" s="873"/>
      <c r="K249" s="873"/>
      <c r="L249" s="873"/>
      <c r="M249" s="873"/>
    </row>
    <row r="250" spans="1:13" ht="11.25" customHeight="1" x14ac:dyDescent="0.25">
      <c r="A250" s="2281" t="s">
        <v>623</v>
      </c>
      <c r="B250" s="647"/>
      <c r="C250" s="873"/>
      <c r="D250" s="873"/>
      <c r="E250" s="873"/>
      <c r="F250" s="873"/>
      <c r="G250" s="873"/>
      <c r="H250" s="873"/>
      <c r="I250" s="873"/>
      <c r="J250" s="873"/>
      <c r="K250" s="873"/>
      <c r="L250" s="873"/>
      <c r="M250" s="873"/>
    </row>
    <row r="251" spans="1:13" ht="11.25" customHeight="1" x14ac:dyDescent="0.25">
      <c r="A251" s="2281" t="s">
        <v>624</v>
      </c>
      <c r="B251" s="647"/>
      <c r="C251" s="873"/>
      <c r="D251" s="873"/>
      <c r="E251" s="873"/>
      <c r="F251" s="873"/>
      <c r="G251" s="873"/>
      <c r="H251" s="873"/>
      <c r="I251" s="873"/>
      <c r="J251" s="873"/>
      <c r="K251" s="873"/>
      <c r="L251" s="873"/>
      <c r="M251" s="873"/>
    </row>
    <row r="252" spans="1:13" ht="11.25" customHeight="1" x14ac:dyDescent="0.25">
      <c r="A252" s="2281" t="s">
        <v>625</v>
      </c>
      <c r="B252" s="647"/>
      <c r="C252" s="873"/>
      <c r="D252" s="873"/>
      <c r="E252" s="873"/>
      <c r="F252" s="873"/>
      <c r="G252" s="873"/>
      <c r="H252" s="873"/>
      <c r="I252" s="873"/>
      <c r="J252" s="873"/>
      <c r="K252" s="873"/>
      <c r="L252" s="873"/>
      <c r="M252" s="873"/>
    </row>
    <row r="253" spans="1:13" ht="11.25" customHeight="1" x14ac:dyDescent="0.25">
      <c r="A253" s="2281" t="s">
        <v>626</v>
      </c>
      <c r="B253" s="647"/>
      <c r="C253" s="873"/>
      <c r="D253" s="873"/>
      <c r="E253" s="873"/>
      <c r="F253" s="873"/>
      <c r="G253" s="873"/>
      <c r="H253" s="873"/>
      <c r="I253" s="873"/>
      <c r="J253" s="873"/>
      <c r="K253" s="873"/>
      <c r="L253" s="873"/>
      <c r="M253" s="873"/>
    </row>
    <row r="254" spans="1:13" ht="11.25" customHeight="1" x14ac:dyDescent="0.25">
      <c r="A254" s="2446" t="s">
        <v>1607</v>
      </c>
      <c r="B254" s="1855"/>
    </row>
    <row r="255" spans="1:13" ht="11.25" customHeight="1" x14ac:dyDescent="0.25">
      <c r="A255" s="2446" t="s">
        <v>1608</v>
      </c>
      <c r="B255" s="1855"/>
      <c r="G255" s="331"/>
      <c r="H255" s="331"/>
      <c r="I255" s="331"/>
      <c r="J255" s="331"/>
      <c r="K255" s="331"/>
      <c r="L255" s="331"/>
      <c r="M255" s="331"/>
    </row>
    <row r="256" spans="1:13" ht="11.25" customHeight="1" x14ac:dyDescent="0.25">
      <c r="A256" s="931" t="s">
        <v>2098</v>
      </c>
      <c r="B256" s="242"/>
      <c r="G256" s="331"/>
      <c r="H256" s="331"/>
      <c r="I256" s="331"/>
      <c r="J256" s="331"/>
      <c r="K256" s="331"/>
      <c r="L256" s="331"/>
      <c r="M256" s="331"/>
    </row>
    <row r="257" spans="1:13" ht="11.25" customHeight="1" x14ac:dyDescent="0.25">
      <c r="A257" s="931" t="s">
        <v>2099</v>
      </c>
      <c r="B257" s="242"/>
      <c r="G257" s="331"/>
      <c r="H257" s="331"/>
      <c r="I257" s="331"/>
      <c r="J257" s="331"/>
      <c r="K257" s="331"/>
      <c r="L257" s="331"/>
      <c r="M257" s="331"/>
    </row>
    <row r="258" spans="1:13" ht="11.25" customHeight="1" x14ac:dyDescent="0.25">
      <c r="A258" s="931" t="s">
        <v>2100</v>
      </c>
      <c r="B258" s="242"/>
    </row>
    <row r="259" spans="1:13" ht="11.25" customHeight="1" x14ac:dyDescent="0.25">
      <c r="A259" s="931" t="s">
        <v>2101</v>
      </c>
      <c r="B259" s="647"/>
      <c r="C259" s="2281"/>
    </row>
    <row r="260" spans="1:13" ht="11.25" customHeight="1" x14ac:dyDescent="0.25">
      <c r="A260" s="2281" t="s">
        <v>2201</v>
      </c>
      <c r="B260" s="647"/>
      <c r="C260" s="2281"/>
    </row>
    <row r="261" spans="1:13" ht="11.25" customHeight="1" x14ac:dyDescent="0.25">
      <c r="A261" s="2447" t="s">
        <v>2216</v>
      </c>
      <c r="B261" s="647"/>
      <c r="C261" s="2281"/>
    </row>
  </sheetData>
  <mergeCells count="19">
    <mergeCell ref="K2:M2"/>
    <mergeCell ref="A2:A3"/>
    <mergeCell ref="B2:B3"/>
    <mergeCell ref="C2:C3"/>
    <mergeCell ref="D2:D3"/>
    <mergeCell ref="E2:E3"/>
    <mergeCell ref="F2:F3"/>
    <mergeCell ref="A63:A64"/>
    <mergeCell ref="H63:J63"/>
    <mergeCell ref="K63:M63"/>
    <mergeCell ref="A109:A110"/>
    <mergeCell ref="H109:J109"/>
    <mergeCell ref="K109:M109"/>
    <mergeCell ref="A155:A156"/>
    <mergeCell ref="H155:J155"/>
    <mergeCell ref="K155:M155"/>
    <mergeCell ref="A201:A202"/>
    <mergeCell ref="H201:J201"/>
    <mergeCell ref="K201:M201"/>
  </mergeCells>
  <phoneticPr fontId="4" type="noConversion"/>
  <dataValidations count="1">
    <dataValidation type="decimal" allowBlank="1" showInputMessage="1" showErrorMessage="1" sqref="E67:M70 E72:M74 E78:M82 E84:M86 E90:M91 E93:M95 E99:M99 E101:M105 E113:M116 E118:M120 E124:M128 E130:M132 E136:M137 E139:M141 E145:M145 E147:M151 E159:M162 E164:M166 E170:M174 E176:M178 E182:M183 E185:M187 E191:M191 E193:M197 E205:M208 E210:M212 E216:M220 E222:M224 E228:M229 E231:M233 E237:M237 E239:M243">
      <formula1>-9999999999999990000</formula1>
      <formula2>99999999999999900000</formula2>
    </dataValidation>
  </dataValidations>
  <pageMargins left="0.75" right="0.75" top="1" bottom="1" header="0.5" footer="0.5"/>
  <pageSetup scale="5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enableFormatConditionsCalculation="0">
    <tabColor indexed="42"/>
    <pageSetUpPr fitToPage="1"/>
  </sheetPr>
  <dimension ref="A1:R138"/>
  <sheetViews>
    <sheetView showGridLines="0" tabSelected="1" workbookViewId="0">
      <pane xSplit="3" ySplit="3" topLeftCell="D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8.7109375" style="148" customWidth="1"/>
    <col min="2" max="2" width="6.7109375" style="242" bestFit="1" customWidth="1"/>
    <col min="3" max="3" width="3" style="242" customWidth="1"/>
    <col min="4" max="5" width="9" style="242" customWidth="1"/>
    <col min="6" max="9" width="9" style="148" customWidth="1"/>
    <col min="10" max="10" width="8.7109375" style="148" customWidth="1"/>
    <col min="11" max="13" width="9" style="148" customWidth="1"/>
    <col min="14" max="14" width="9.5703125" style="148" customWidth="1"/>
    <col min="15" max="15" width="10.140625" style="148" bestFit="1" customWidth="1"/>
    <col min="16" max="16" width="9.5703125" style="148" bestFit="1" customWidth="1"/>
    <col min="17" max="16384" width="9.140625" style="148"/>
  </cols>
  <sheetData>
    <row r="1" spans="1:15" s="178" customFormat="1" ht="13.5" customHeight="1" x14ac:dyDescent="0.2">
      <c r="A1" s="146" t="str">
        <f>muni &amp;" " &amp; TableA10</f>
        <v>NC071 Ubuntu Supporting Table SA10 Funding measurement</v>
      </c>
      <c r="B1" s="146"/>
      <c r="C1" s="146"/>
      <c r="D1" s="146"/>
      <c r="E1" s="146"/>
      <c r="F1" s="146"/>
      <c r="G1" s="146"/>
      <c r="H1" s="146"/>
      <c r="I1" s="146"/>
      <c r="J1" s="146"/>
      <c r="K1" s="146"/>
      <c r="L1" s="146"/>
      <c r="M1" s="146"/>
    </row>
    <row r="2" spans="1:15" ht="28.5" customHeight="1" x14ac:dyDescent="0.25">
      <c r="A2" s="2738" t="str">
        <f>desc</f>
        <v>Description</v>
      </c>
      <c r="B2" s="2748" t="s">
        <v>435</v>
      </c>
      <c r="C2" s="2750" t="str">
        <f>head27</f>
        <v>Ref</v>
      </c>
      <c r="D2" s="149" t="str">
        <f>head1b</f>
        <v>2008/9</v>
      </c>
      <c r="E2" s="149" t="str">
        <f>head1A</f>
        <v>2009/10</v>
      </c>
      <c r="F2" s="145" t="str">
        <f>Head1</f>
        <v>2010/11</v>
      </c>
      <c r="G2" s="2700" t="str">
        <f>Head2</f>
        <v>Current Year 2011/12</v>
      </c>
      <c r="H2" s="2701"/>
      <c r="I2" s="2701"/>
      <c r="J2" s="2701"/>
      <c r="K2" s="2697" t="str">
        <f>Head3</f>
        <v>2012/13 Medium Term Revenue &amp; Expenditure Framework</v>
      </c>
      <c r="L2" s="2698"/>
      <c r="M2" s="2699"/>
    </row>
    <row r="3" spans="1:15" ht="25.5" x14ac:dyDescent="0.25">
      <c r="A3" s="2739"/>
      <c r="B3" s="2749"/>
      <c r="C3" s="2751"/>
      <c r="D3" s="353" t="str">
        <f>Head5</f>
        <v>Audited Outcome</v>
      </c>
      <c r="E3" s="353" t="str">
        <f>Head5</f>
        <v>Audited Outcome</v>
      </c>
      <c r="F3" s="354" t="str">
        <f>Head5</f>
        <v>Audited Outcome</v>
      </c>
      <c r="G3" s="283" t="str">
        <f>Head6</f>
        <v>Original Budget</v>
      </c>
      <c r="H3" s="741" t="str">
        <f>Head7</f>
        <v>Adjusted Budget</v>
      </c>
      <c r="I3" s="1935" t="str">
        <f>Head8</f>
        <v>Full Year Forecast</v>
      </c>
      <c r="J3" s="1693" t="str">
        <f>Head5b</f>
        <v>Pre-audit outcome</v>
      </c>
      <c r="K3" s="283" t="str">
        <f>Head9</f>
        <v>Budget Year 2012/13</v>
      </c>
      <c r="L3" s="353" t="str">
        <f>Head10</f>
        <v>Budget Year +1 2013/14</v>
      </c>
      <c r="M3" s="354" t="str">
        <f>Head11</f>
        <v>Budget Year +2 2014/15</v>
      </c>
    </row>
    <row r="4" spans="1:15" x14ac:dyDescent="0.25">
      <c r="A4" s="180" t="s">
        <v>1734</v>
      </c>
      <c r="B4" s="468"/>
      <c r="C4" s="469"/>
      <c r="D4" s="781"/>
      <c r="E4" s="470"/>
      <c r="F4" s="471"/>
      <c r="G4" s="199"/>
      <c r="H4" s="470"/>
      <c r="I4" s="471"/>
      <c r="J4" s="241"/>
      <c r="K4" s="472"/>
      <c r="L4" s="470"/>
      <c r="M4" s="471"/>
    </row>
    <row r="5" spans="1:15" x14ac:dyDescent="0.25">
      <c r="A5" s="189" t="str">
        <f>LEFT('A7-CFlow'!A38,37)&amp;" - R'000"</f>
        <v>Cash/cash equivalents at the year end - R'000</v>
      </c>
      <c r="B5" s="473" t="s">
        <v>1330</v>
      </c>
      <c r="C5" s="279">
        <v>1</v>
      </c>
      <c r="D5" s="205">
        <f>'A7-CFlow'!C38</f>
        <v>-1216405.1499999901</v>
      </c>
      <c r="E5" s="474">
        <f>'A7-CFlow'!D38</f>
        <v>4869651.8282135585</v>
      </c>
      <c r="F5" s="475">
        <f>'A7-CFlow'!E38</f>
        <v>3487111.7279500673</v>
      </c>
      <c r="G5" s="246">
        <f>'A7-CFlow'!F38</f>
        <v>16389503.138080001</v>
      </c>
      <c r="H5" s="474">
        <f>'A7-CFlow'!G38</f>
        <v>-15133397.219264206</v>
      </c>
      <c r="I5" s="475">
        <f>'A7-CFlow'!H38</f>
        <v>-15133397.219264206</v>
      </c>
      <c r="J5" s="208">
        <f>'A7-CFlow'!I38</f>
        <v>-15133397.219264206</v>
      </c>
      <c r="K5" s="209">
        <f>'A7-CFlow'!J38</f>
        <v>-25238949.415221825</v>
      </c>
      <c r="L5" s="474">
        <f>'A7-CFlow'!K38</f>
        <v>-33973128.215097122</v>
      </c>
      <c r="M5" s="475">
        <f>'A7-CFlow'!L38</f>
        <v>-42513760.957520664</v>
      </c>
    </row>
    <row r="6" spans="1:15" x14ac:dyDescent="0.25">
      <c r="A6" s="189" t="s">
        <v>1403</v>
      </c>
      <c r="B6" s="473" t="s">
        <v>1330</v>
      </c>
      <c r="C6" s="279">
        <v>2</v>
      </c>
      <c r="D6" s="205">
        <f>'A8-ResRecon'!C8-'A8-ResRecon'!C18</f>
        <v>20008023.290000003</v>
      </c>
      <c r="E6" s="474">
        <f>'A8-ResRecon'!D8-'A8-ResRecon'!D18</f>
        <v>-470503.65000000037</v>
      </c>
      <c r="F6" s="475">
        <f>'A8-ResRecon'!E8-'A8-ResRecon'!E18</f>
        <v>-4514176.6500000004</v>
      </c>
      <c r="G6" s="246">
        <f>'A8-ResRecon'!F8-'A8-ResRecon'!F18</f>
        <v>9725401.5830000043</v>
      </c>
      <c r="H6" s="474">
        <f>'A8-ResRecon'!G8-'A8-ResRecon'!G18</f>
        <v>-24583998.227809601</v>
      </c>
      <c r="I6" s="475">
        <f>'A8-ResRecon'!H8-'A8-ResRecon'!H18</f>
        <v>-24583998.227809627</v>
      </c>
      <c r="J6" s="208">
        <f>'A8-ResRecon'!I8-'A8-ResRecon'!I18</f>
        <v>-24583998.227809627</v>
      </c>
      <c r="K6" s="209">
        <f>'A8-ResRecon'!J8-'A8-ResRecon'!J18</f>
        <v>-34885935.4632622</v>
      </c>
      <c r="L6" s="474">
        <f>'A8-ResRecon'!K8-'A8-ResRecon'!K18</f>
        <v>-43940064.35539715</v>
      </c>
      <c r="M6" s="475">
        <f>'A8-ResRecon'!L8-'A8-ResRecon'!L18</f>
        <v>-52529813.696538493</v>
      </c>
    </row>
    <row r="7" spans="1:15" x14ac:dyDescent="0.25">
      <c r="A7" s="189" t="s">
        <v>285</v>
      </c>
      <c r="B7" s="473" t="s">
        <v>1330</v>
      </c>
      <c r="C7" s="279">
        <v>3</v>
      </c>
      <c r="D7" s="782">
        <f>IF(ISERROR('SA8'!C35),0,('SA8'!C35))</f>
        <v>-0.44844639467950848</v>
      </c>
      <c r="E7" s="477">
        <f>IF(ISERROR('SA8'!D35),0,('SA8'!D35))</f>
        <v>1.1738292438708269</v>
      </c>
      <c r="F7" s="478">
        <f>IF(ISERROR('SA8'!E35),0,('SA8'!E35))</f>
        <v>0.81422718214327694</v>
      </c>
      <c r="G7" s="479">
        <f>IF(ISERROR('SA8'!F35),0,('SA8'!F35))</f>
        <v>3.7994189089362709</v>
      </c>
      <c r="H7" s="477">
        <f>IF(ISERROR('SA8'!G35),0,('SA8'!G35))</f>
        <v>-2.7693153446713712</v>
      </c>
      <c r="I7" s="478">
        <f>IF(ISERROR('SA8'!H35),0,('SA8'!H35))</f>
        <v>-2.7693153446713712</v>
      </c>
      <c r="J7" s="476">
        <f>IF(ISERROR('SA8'!I35),0,('SA8'!I35))</f>
        <v>-2.7693153446713712</v>
      </c>
      <c r="K7" s="480">
        <f>IF(ISERROR('SA8'!J35),0,('SA8'!J35))</f>
        <v>-4.4752929522088012</v>
      </c>
      <c r="L7" s="477">
        <f>IF(ISERROR('SA8'!K35),0,('SA8'!K35))</f>
        <v>-5.754242772285278</v>
      </c>
      <c r="M7" s="478">
        <f>IF(ISERROR('SA8'!L35),0,('SA8'!L35))</f>
        <v>-6.7874719085157649</v>
      </c>
    </row>
    <row r="8" spans="1:15" x14ac:dyDescent="0.25">
      <c r="A8" s="189" t="s">
        <v>1271</v>
      </c>
      <c r="B8" s="473" t="s">
        <v>1331</v>
      </c>
      <c r="C8" s="279">
        <v>4</v>
      </c>
      <c r="D8" s="205">
        <f>'A4-FinPerf RE'!C42+'SA3'!C60</f>
        <v>19286660.254558828</v>
      </c>
      <c r="E8" s="474">
        <f>'A4-FinPerf RE'!D42+'SA3'!D60</f>
        <v>2280514.7819191758</v>
      </c>
      <c r="F8" s="475">
        <f>'A4-FinPerf RE'!E42+'SA3'!E60</f>
        <v>-5054308.3579318076</v>
      </c>
      <c r="G8" s="246">
        <f>'A4-FinPerf RE'!F42+'SA3'!F60</f>
        <v>-7179590.7007879913</v>
      </c>
      <c r="H8" s="474">
        <f>'A4-FinPerf RE'!G42+'SA3'!G60</f>
        <v>-15432553.285714284</v>
      </c>
      <c r="I8" s="475">
        <f>'A4-FinPerf RE'!H42+'SA3'!H60</f>
        <v>-15432553.285714284</v>
      </c>
      <c r="J8" s="208">
        <f>'A4-FinPerf RE'!I42+'SA3'!I60</f>
        <v>-15432553.285714284</v>
      </c>
      <c r="K8" s="209">
        <f>'A4-FinPerf RE'!J42+'SA3'!J60</f>
        <v>-3590867.0218468606</v>
      </c>
      <c r="L8" s="474">
        <f>'A4-FinPerf RE'!K42+'SA3'!K60</f>
        <v>-938183.04315766692</v>
      </c>
      <c r="M8" s="475">
        <f>'A4-FinPerf RE'!L42+'SA3'!L60</f>
        <v>-842898.03174713254</v>
      </c>
    </row>
    <row r="9" spans="1:15" x14ac:dyDescent="0.25">
      <c r="A9" s="302" t="s">
        <v>1593</v>
      </c>
      <c r="B9" s="481" t="s">
        <v>1328</v>
      </c>
      <c r="C9" s="280">
        <v>5</v>
      </c>
      <c r="D9" s="538" t="s">
        <v>1451</v>
      </c>
      <c r="E9" s="482">
        <f>IF(ISERROR(E36-E61),0,(E36-E61))</f>
        <v>7.3060776616493073E-2</v>
      </c>
      <c r="F9" s="483">
        <f t="shared" ref="F9:M9" si="0">IF(ISERROR(F36-F61),0,(F36-F61))</f>
        <v>2.0989928405871272E-2</v>
      </c>
      <c r="G9" s="486">
        <f t="shared" si="0"/>
        <v>-0.22143821989075091</v>
      </c>
      <c r="H9" s="485">
        <f t="shared" si="0"/>
        <v>0.16208376634748861</v>
      </c>
      <c r="I9" s="483">
        <f t="shared" si="0"/>
        <v>-0.06</v>
      </c>
      <c r="J9" s="486">
        <f t="shared" si="0"/>
        <v>-0.06</v>
      </c>
      <c r="K9" s="487">
        <f>IF(ISERROR(K36-K61),0,(K36-K61))</f>
        <v>0.39891439123500622</v>
      </c>
      <c r="L9" s="485">
        <f t="shared" si="0"/>
        <v>2.7755575615628914E-16</v>
      </c>
      <c r="M9" s="483">
        <f t="shared" si="0"/>
        <v>-2.0515694698630682E-10</v>
      </c>
    </row>
    <row r="10" spans="1:15" x14ac:dyDescent="0.25">
      <c r="A10" s="302" t="s">
        <v>102</v>
      </c>
      <c r="B10" s="481" t="s">
        <v>1328</v>
      </c>
      <c r="C10" s="280">
        <v>6</v>
      </c>
      <c r="D10" s="539">
        <f>IF(ISERROR(D53/D54),0,(D53/D54))</f>
        <v>1.7106700613500503</v>
      </c>
      <c r="E10" s="485">
        <f t="shared" ref="E10:M10" si="1">IF(ISERROR(E53/E54),0,(E53/E54))</f>
        <v>0.72548356396748914</v>
      </c>
      <c r="F10" s="483">
        <f t="shared" si="1"/>
        <v>0.96548912717845858</v>
      </c>
      <c r="G10" s="486">
        <f t="shared" si="1"/>
        <v>0.5834104800771811</v>
      </c>
      <c r="H10" s="485">
        <f t="shared" si="1"/>
        <v>0.78747057389211195</v>
      </c>
      <c r="I10" s="483">
        <f t="shared" si="1"/>
        <v>0.78747057389211195</v>
      </c>
      <c r="J10" s="486">
        <f t="shared" si="1"/>
        <v>0.78747057389211195</v>
      </c>
      <c r="K10" s="487">
        <f t="shared" si="1"/>
        <v>0.89966902977074503</v>
      </c>
      <c r="L10" s="485">
        <f t="shared" si="1"/>
        <v>0.89746010081268601</v>
      </c>
      <c r="M10" s="483">
        <f t="shared" si="1"/>
        <v>0.89136052666143684</v>
      </c>
    </row>
    <row r="11" spans="1:15" x14ac:dyDescent="0.25">
      <c r="A11" s="302" t="s">
        <v>174</v>
      </c>
      <c r="B11" s="481" t="s">
        <v>1328</v>
      </c>
      <c r="C11" s="280">
        <v>7</v>
      </c>
      <c r="D11" s="539">
        <f>IF(ISERROR('A4-FinPerf RE'!C27/'SA10'!D43),0,('A4-FinPerf RE'!C27/'SA10'!D43))</f>
        <v>0</v>
      </c>
      <c r="E11" s="485">
        <f>IF(ISERROR('A4-FinPerf RE'!D27/'SA10'!E43),0,('A4-FinPerf RE'!D27/'SA10'!E43))</f>
        <v>0.68253619681812672</v>
      </c>
      <c r="F11" s="483">
        <f>IF(ISERROR('A4-FinPerf RE'!E27/'SA10'!F43),0,('A4-FinPerf RE'!E27/'SA10'!F43))</f>
        <v>0.16277177507842902</v>
      </c>
      <c r="G11" s="486">
        <f>IF(ISERROR('A4-FinPerf RE'!F27/'SA10'!G43),0,('A4-FinPerf RE'!F27/'SA10'!G43))</f>
        <v>0.55710931110461404</v>
      </c>
      <c r="H11" s="485">
        <f>IF(ISERROR('A4-FinPerf RE'!G27/'SA10'!H43),0,('A4-FinPerf RE'!G27/'SA10'!H43))</f>
        <v>0.45982820138497732</v>
      </c>
      <c r="I11" s="483">
        <f>IF(ISERROR('A4-FinPerf RE'!H27/'SA10'!I43),0,('A4-FinPerf RE'!H27/'SA10'!I43))</f>
        <v>0.45982820138497732</v>
      </c>
      <c r="J11" s="486">
        <f>IF(ISERROR('A4-FinPerf RE'!I27/'SA10'!J43),0,('A4-FinPerf RE'!I27/'SA10'!J43))</f>
        <v>0.45982820138497732</v>
      </c>
      <c r="K11" s="487">
        <f>IF(ISERROR('A4-FinPerf RE'!J27/'SA10'!K43),0,('A4-FinPerf RE'!J27/'SA10'!K43))</f>
        <v>0.11250856305103472</v>
      </c>
      <c r="L11" s="485">
        <f>IF(ISERROR('A4-FinPerf RE'!K27/'SA10'!L43),0,('A4-FinPerf RE'!K27/'SA10'!L43))</f>
        <v>0.11250856305103472</v>
      </c>
      <c r="M11" s="483">
        <f>IF(ISERROR('A4-FinPerf RE'!L27/'SA10'!M43),0,('A4-FinPerf RE'!L27/'SA10'!M43))</f>
        <v>0.11250856307233063</v>
      </c>
    </row>
    <row r="12" spans="1:15" x14ac:dyDescent="0.25">
      <c r="A12" s="302" t="s">
        <v>1823</v>
      </c>
      <c r="B12" s="481" t="s">
        <v>1329</v>
      </c>
      <c r="C12" s="280">
        <v>8</v>
      </c>
      <c r="D12" s="539">
        <f>IF(ISERROR(-'A7-CFlow'!C24/'A5-Capex'!C40),0,(-'A7-CFlow'!C24/'A5-Capex'!C40))</f>
        <v>1.0000000594818146</v>
      </c>
      <c r="E12" s="539">
        <f>IF(ISERROR(-'A7-CFlow'!D24/'A5-Capex'!D40),0,(-'A7-CFlow'!D24/'A5-Capex'!D40))</f>
        <v>0.9971772153453986</v>
      </c>
      <c r="F12" s="483">
        <f>IF(ISERROR(-'A7-CFlow'!E24/'A5-Capex'!E40),0,(-'A7-CFlow'!E24/'A5-Capex'!E40))</f>
        <v>1.0000000276567891</v>
      </c>
      <c r="G12" s="1275">
        <f>IF(ISERROR(-'A7-CFlow'!F24/'A5-Capex'!F40),0,(-'A7-CFlow'!F24/'A5-Capex'!F40))</f>
        <v>1</v>
      </c>
      <c r="H12" s="539">
        <f>IF(ISERROR(-'A7-CFlow'!G24/'A5-Capex'!G40),0,(-'A7-CFlow'!G24/'A5-Capex'!G40))</f>
        <v>1</v>
      </c>
      <c r="I12" s="483">
        <f>IF(ISERROR(-'A7-CFlow'!H24/'A5-Capex'!H40),0,(-'A7-CFlow'!H24/'A5-Capex'!H40))</f>
        <v>1</v>
      </c>
      <c r="J12" s="500">
        <f>IF(ISERROR(-'A7-CFlow'!I24/'A5-Capex'!I40),0,(-'A7-CFlow'!I24/'A5-Capex'!I40))</f>
        <v>1</v>
      </c>
      <c r="K12" s="1275">
        <f>IF(ISERROR(-'A7-CFlow'!J24/'A5-Capex'!J40),0,(-'A7-CFlow'!J24/'A5-Capex'!J40))</f>
        <v>1</v>
      </c>
      <c r="L12" s="539">
        <f>IF(ISERROR(-'A7-CFlow'!K24/'A5-Capex'!K40),0,(-'A7-CFlow'!K24/'A5-Capex'!K40))</f>
        <v>1</v>
      </c>
      <c r="M12" s="483">
        <f>IF(ISERROR(-'A7-CFlow'!L24/'A5-Capex'!L40),0,(-'A7-CFlow'!L24/'A5-Capex'!L40))</f>
        <v>1</v>
      </c>
    </row>
    <row r="13" spans="1:15" x14ac:dyDescent="0.25">
      <c r="A13" s="302" t="s">
        <v>13</v>
      </c>
      <c r="B13" s="481" t="s">
        <v>437</v>
      </c>
      <c r="C13" s="280">
        <v>9</v>
      </c>
      <c r="D13" s="539">
        <f>IF(ISERROR('A7-CFlow'!C30/'SA10'!D52),0,('A7-CFlow'!C30/'SA10'!D52))</f>
        <v>0</v>
      </c>
      <c r="E13" s="485">
        <f>IF(ISERROR('A7-CFlow'!D30/'SA10'!E52),0,('A7-CFlow'!D30/'SA10'!E52))</f>
        <v>6.7105498040671646E-2</v>
      </c>
      <c r="F13" s="483">
        <f>IF(ISERROR('A7-CFlow'!E30/'SA10'!F52),0,('A7-CFlow'!E30/'SA10'!F52))</f>
        <v>0</v>
      </c>
      <c r="G13" s="486">
        <f>IF(ISERROR('A7-CFlow'!F30/'SA10'!G52),0,('A7-CFlow'!F30/'SA10'!G52))</f>
        <v>0</v>
      </c>
      <c r="H13" s="485">
        <f>IF(ISERROR('A7-CFlow'!G30/'SA10'!H52),0,('A7-CFlow'!G30/'SA10'!H52))</f>
        <v>0</v>
      </c>
      <c r="I13" s="483">
        <f>IF(ISERROR('A7-CFlow'!H30/'SA10'!I52),0,('A7-CFlow'!H30/'SA10'!I52))</f>
        <v>0</v>
      </c>
      <c r="J13" s="486">
        <f>IF(ISERROR('A7-CFlow'!I30/'SA10'!J52),0,('A7-CFlow'!I30/'SA10'!J52))</f>
        <v>0</v>
      </c>
      <c r="K13" s="487">
        <f>IF(ISERROR('A7-CFlow'!J30/'SA10'!K52),0,('A7-CFlow'!J30/'SA10'!K52))</f>
        <v>0</v>
      </c>
      <c r="L13" s="485">
        <f>IF(ISERROR('A7-CFlow'!K30/'SA10'!L52),0,('A7-CFlow'!K30/'SA10'!L52))</f>
        <v>0</v>
      </c>
      <c r="M13" s="483">
        <f>IF(ISERROR('A7-CFlow'!L30/'SA10'!M52),0,('A7-CFlow'!L30/'SA10'!M52))</f>
        <v>0</v>
      </c>
    </row>
    <row r="14" spans="1:15" ht="14.25" customHeight="1" x14ac:dyDescent="0.25">
      <c r="A14" s="302" t="s">
        <v>718</v>
      </c>
      <c r="B14" s="481" t="s">
        <v>436</v>
      </c>
      <c r="C14" s="280">
        <v>10</v>
      </c>
      <c r="D14" s="1597"/>
      <c r="E14" s="1598"/>
      <c r="F14" s="1599"/>
      <c r="G14" s="1600"/>
      <c r="H14" s="1598"/>
      <c r="I14" s="1599"/>
      <c r="J14" s="1600"/>
      <c r="K14" s="487">
        <f>IF(ISERROR(K56/K68),0,(K56/K68))</f>
        <v>0</v>
      </c>
      <c r="L14" s="485">
        <f>IF(ISERROR(L56/L68),0,(L56/L68))</f>
        <v>0</v>
      </c>
      <c r="M14" s="483">
        <f>IF(ISERROR(M56/M68),0,(M56/M68))</f>
        <v>0</v>
      </c>
      <c r="N14" s="1248"/>
      <c r="O14" s="1248"/>
    </row>
    <row r="15" spans="1:15" x14ac:dyDescent="0.25">
      <c r="A15" s="302" t="s">
        <v>719</v>
      </c>
      <c r="B15" s="481" t="s">
        <v>436</v>
      </c>
      <c r="C15" s="280">
        <v>11</v>
      </c>
      <c r="D15" s="538" t="s">
        <v>1451</v>
      </c>
      <c r="E15" s="485">
        <f>IF(ISERROR(ROUND((SUM('A6-FinPos'!D8:D10)-SUM('A6-FinPos'!C8:C10))/SUM('A6-FinPos'!C8:C10),3)),0,(ROUND((SUM('A6-FinPos'!D8:D10)-SUM('A6-FinPos'!C8:C10))/SUM('A6-FinPos'!C8:C10),3)))</f>
        <v>-0.56299999999999994</v>
      </c>
      <c r="F15" s="483">
        <f>IF(ISERROR(ROUND((SUM('A6-FinPos'!E8:E10)-SUM('A6-FinPos'!D8:D10))/SUM('A6-FinPos'!D8:D10),3)),0,(ROUND((SUM('A6-FinPos'!E8:E10)-SUM('A6-FinPos'!D8:D10))/SUM('A6-FinPos'!D8:D10),3)))</f>
        <v>-0.56000000000000005</v>
      </c>
      <c r="G15" s="486">
        <f>IF(ISERROR(ROUND((SUM('A6-FinPos'!F8:F10)-SUM('A6-FinPos'!E8:E10))/SUM('A6-FinPos'!E8:E10),3)),0,(ROUND((SUM('A6-FinPos'!F8:F10)-SUM('A6-FinPos'!E8:E10))/SUM('A6-FinPos'!E8:E10),3)))</f>
        <v>4.5350000000000001</v>
      </c>
      <c r="H15" s="485">
        <f>IF(ISERROR(ROUND((SUM('A6-FinPos'!G8:G10)-SUM('A6-FinPos'!F8:F10))/SUM('A6-FinPos'!F8:F10),3)),0,(ROUND((SUM('A6-FinPos'!G8:G10)-SUM('A6-FinPos'!F8:F10))/SUM('A6-FinPos'!F8:F10),3)))</f>
        <v>-0.85799999999999998</v>
      </c>
      <c r="I15" s="483">
        <f>IF(ISERROR(ROUND((SUM('A6-FinPos'!H8:H10)-SUM('A6-FinPos'!G8:G10))/SUM('A6-FinPos'!G8:G10),3)),0,(ROUND((SUM('A6-FinPos'!H8:H10)-SUM('A6-FinPos'!G8:G10))/SUM('A6-FinPos'!G8:G10),3)))</f>
        <v>0</v>
      </c>
      <c r="J15" s="486">
        <f>IF(ISERROR(ROUND((SUM('A6-FinPos'!I8:I10)-SUM('A6-FinPos'!H8:H10))/SUM('A6-FinPos'!H8:H10),3)),0,(ROUND((SUM('A6-FinPos'!I8:I10)-SUM('A6-FinPos'!H8:H10))/SUM('A6-FinPos'!H8:H10),3)))</f>
        <v>0</v>
      </c>
      <c r="K15" s="487">
        <f>IF(ISERROR(ROUND((SUM('A6-FinPos'!J8:J10)-SUM('A6-FinPos'!G8:G10))/SUM('A6-FinPos'!G8:G10),3)),0,(ROUND((SUM('A6-FinPos'!J8:J10)-SUM('A6-FinPos'!G8:G10))/SUM('A6-FinPos'!G8:G10),3)))</f>
        <v>1.2E-2</v>
      </c>
      <c r="L15" s="485">
        <f>IF(ISERROR(ROUND((SUM('A6-FinPos'!K8:K10)-SUM('A6-FinPos'!J8:J10))/SUM('A6-FinPos'!J8:J10),3)),0,(ROUND((SUM('A6-FinPos'!K8:K10)-SUM('A6-FinPos'!J8:J10))/SUM('A6-FinPos'!J8:J10),3)))</f>
        <v>7.1999999999999995E-2</v>
      </c>
      <c r="M15" s="483">
        <f>IF(ISERROR(ROUND((SUM('A6-FinPos'!L8:L10)-SUM('A6-FinPos'!K8:K10))/SUM('A6-FinPos'!K8:K10),3)),0,(ROUND((SUM('A6-FinPos'!L8:L10)-SUM('A6-FinPos'!K8:K10))/SUM('A6-FinPos'!K8:K10),3)))</f>
        <v>0.23200000000000001</v>
      </c>
    </row>
    <row r="16" spans="1:15" x14ac:dyDescent="0.25">
      <c r="A16" s="189" t="s">
        <v>1449</v>
      </c>
      <c r="B16" s="473" t="s">
        <v>436</v>
      </c>
      <c r="C16" s="279">
        <v>12</v>
      </c>
      <c r="D16" s="538" t="s">
        <v>1451</v>
      </c>
      <c r="E16" s="485">
        <f>IF(ISERROR(ROUND(('A6-FinPos'!D15-'A6-FinPos'!C15)/'A6-FinPos'!C15,3)),0,(ROUND(('A6-FinPos'!D15-'A6-FinPos'!C15)/'A6-FinPos'!C15,3)))</f>
        <v>-0.98</v>
      </c>
      <c r="F16" s="483">
        <f>IF(ISERROR(ROUND(('A6-FinPos'!E15-'A6-FinPos'!D15)/'A6-FinPos'!D15,3)),0,(ROUND(('A6-FinPos'!E15-'A6-FinPos'!D15)/'A6-FinPos'!D15,3)))</f>
        <v>-0.214</v>
      </c>
      <c r="G16" s="486">
        <f>IF(ISERROR(ROUND(('A6-FinPos'!F15-'A6-FinPos'!E15)/'A6-FinPos'!E15,3)),0,(ROUND(('A6-FinPos'!F15-'A6-FinPos'!E15)/'A6-FinPos'!E15,3)))</f>
        <v>58.029000000000003</v>
      </c>
      <c r="H16" s="485">
        <f>IF(ISERROR(ROUND(('A6-FinPos'!G15-'A6-FinPos'!F15)/'A6-FinPos'!F15,3)),0,(ROUND(('A6-FinPos'!G15-'A6-FinPos'!F15)/'A6-FinPos'!F15,3)))</f>
        <v>-0.98299999999999998</v>
      </c>
      <c r="I16" s="483">
        <f>IF(ISERROR(ROUND(('A6-FinPos'!H15-'A6-FinPos'!G15)/'A6-FinPos'!G15,3)),0,(ROUND(('A6-FinPos'!H15-'A6-FinPos'!G15)/'A6-FinPos'!G15,3)))</f>
        <v>0</v>
      </c>
      <c r="J16" s="486">
        <f>IF(ISERROR(ROUND(('A6-FinPos'!I15-'A6-FinPos'!H15)/'A6-FinPos'!H15,3)),0,(ROUND(('A6-FinPos'!I15-'A6-FinPos'!H15)/'A6-FinPos'!H15,3)))</f>
        <v>0</v>
      </c>
      <c r="K16" s="487">
        <f>IF(ISERROR(ROUND(('A6-FinPos'!J15-'A6-FinPos'!G15)/'A6-FinPos'!G15,3)),0,(ROUND(('A6-FinPos'!J15-'A6-FinPos'!G15)/'A6-FinPos'!G15,3)))</f>
        <v>0</v>
      </c>
      <c r="L16" s="485">
        <f>IF(ISERROR(ROUND(('A6-FinPos'!K15-'A6-FinPos'!J15)/'A6-FinPos'!J15,3)),0,(ROUND(('A6-FinPos'!K15-'A6-FinPos'!J15)/'A6-FinPos'!J15,3)))</f>
        <v>0</v>
      </c>
      <c r="M16" s="483">
        <f>IF(ISERROR(ROUND(('A6-FinPos'!L15-'A6-FinPos'!K15)/'A6-FinPos'!K15,3)),0,(ROUND(('A6-FinPos'!L15-'A6-FinPos'!K15)/'A6-FinPos'!K15,3)))</f>
        <v>0</v>
      </c>
    </row>
    <row r="17" spans="1:13" x14ac:dyDescent="0.25">
      <c r="A17" s="189" t="s">
        <v>101</v>
      </c>
      <c r="B17" s="488" t="s">
        <v>1332</v>
      </c>
      <c r="C17" s="279">
        <v>13</v>
      </c>
      <c r="D17" s="539">
        <f>IF(ISERROR('A9-Asset'!C69/'A6-FinPos'!C19),0,('A9-Asset'!C69/'A6-FinPos'!C19))</f>
        <v>1.3358116151508516E-2</v>
      </c>
      <c r="E17" s="539">
        <f>IF(ISERROR('A9-Asset'!D69/'A6-FinPos'!D19),0,('A9-Asset'!D69/'A6-FinPos'!D19))</f>
        <v>1.3313525141396953E-2</v>
      </c>
      <c r="F17" s="483">
        <f>IF(ISERROR('A9-Asset'!E69/'A6-FinPos'!E19),0,('A9-Asset'!E69/'A6-FinPos'!E19))</f>
        <v>1.8333870806948257E-2</v>
      </c>
      <c r="G17" s="1275">
        <f>IF(ISERROR('A9-Asset'!F69/'A6-FinPos'!F19),0,('A9-Asset'!F69/'A6-FinPos'!F19))</f>
        <v>0</v>
      </c>
      <c r="H17" s="539">
        <f>IF(ISERROR('A9-Asset'!G69/'A6-FinPos'!G19),0,('A9-Asset'!G69/'A6-FinPos'!G19))</f>
        <v>4.5697911993338641E-2</v>
      </c>
      <c r="I17" s="483">
        <f>IF(ISERROR('A9-Asset'!H69/'A6-FinPos'!H19),0,('A9-Asset'!H69/'A6-FinPos'!H19))</f>
        <v>4.5697911993338641E-2</v>
      </c>
      <c r="J17" s="501">
        <f>IF(ISERROR('A9-Asset'!I69/'A6-FinPos'!I19),0,('A9-Asset'!I69/'A6-FinPos'!I19))</f>
        <v>4.122387583012848E-2</v>
      </c>
      <c r="K17" s="1275">
        <f>IF(ISERROR('A9-Asset'!I69/'A6-FinPos'!J19),0,('A9-Asset'!I69/'A6-FinPos'!J19))</f>
        <v>3.8904595975293242E-2</v>
      </c>
      <c r="L17" s="539">
        <f>IF(ISERROR('A9-Asset'!J69/'A6-FinPos'!K19),0,('A9-Asset'!J69/'A6-FinPos'!K19))</f>
        <v>3.8706524424998306E-2</v>
      </c>
      <c r="M17" s="483">
        <f>IF(ISERROR('A9-Asset'!K69/'A6-FinPos'!L19),0,('A9-Asset'!K69/'A6-FinPos'!L19))</f>
        <v>3.8753326891553509E-2</v>
      </c>
    </row>
    <row r="18" spans="1:13" x14ac:dyDescent="0.25">
      <c r="A18" s="189" t="s">
        <v>990</v>
      </c>
      <c r="B18" s="488" t="str">
        <f>B17</f>
        <v>20(1)(vi)</v>
      </c>
      <c r="C18" s="279">
        <v>14</v>
      </c>
      <c r="D18" s="539">
        <f t="shared" ref="D18:L18" si="2">IF(ISERROR(D58/D57),0,(D58/D57))</f>
        <v>0</v>
      </c>
      <c r="E18" s="485">
        <f t="shared" si="2"/>
        <v>0</v>
      </c>
      <c r="F18" s="483">
        <f t="shared" si="2"/>
        <v>0</v>
      </c>
      <c r="G18" s="484">
        <f t="shared" si="2"/>
        <v>0</v>
      </c>
      <c r="H18" s="485">
        <f t="shared" si="2"/>
        <v>0</v>
      </c>
      <c r="I18" s="483">
        <f t="shared" si="2"/>
        <v>0</v>
      </c>
      <c r="J18" s="486">
        <f t="shared" si="2"/>
        <v>0</v>
      </c>
      <c r="K18" s="487">
        <f t="shared" si="2"/>
        <v>0</v>
      </c>
      <c r="L18" s="485">
        <f t="shared" si="2"/>
        <v>0</v>
      </c>
      <c r="M18" s="483">
        <f>IF(ISERROR(M58/M57),0,((M58/M57)))</f>
        <v>0</v>
      </c>
    </row>
    <row r="19" spans="1:13" ht="6" customHeight="1" x14ac:dyDescent="0.25">
      <c r="A19" s="308"/>
      <c r="B19" s="489"/>
      <c r="C19" s="490"/>
      <c r="D19" s="490"/>
      <c r="E19" s="489"/>
      <c r="F19" s="492"/>
      <c r="G19" s="493"/>
      <c r="H19" s="489"/>
      <c r="I19" s="492"/>
      <c r="J19" s="491"/>
      <c r="K19" s="494"/>
      <c r="L19" s="489"/>
      <c r="M19" s="492"/>
    </row>
    <row r="20" spans="1:13" x14ac:dyDescent="0.25">
      <c r="A20" s="783" t="str">
        <f>head27a</f>
        <v>References</v>
      </c>
      <c r="B20" s="495"/>
      <c r="C20" s="495"/>
      <c r="D20" s="495"/>
      <c r="E20" s="495"/>
      <c r="F20" s="495"/>
      <c r="G20" s="495"/>
      <c r="H20" s="495"/>
      <c r="I20" s="495"/>
      <c r="J20" s="495"/>
      <c r="K20" s="495"/>
      <c r="L20" s="495"/>
      <c r="M20" s="495"/>
    </row>
    <row r="21" spans="1:13" x14ac:dyDescent="0.25">
      <c r="A21" s="235" t="s">
        <v>483</v>
      </c>
      <c r="B21" s="496"/>
      <c r="C21" s="496"/>
      <c r="D21" s="496"/>
      <c r="E21" s="496"/>
      <c r="F21" s="496"/>
      <c r="G21" s="496"/>
      <c r="H21" s="496"/>
      <c r="I21" s="496"/>
      <c r="J21" s="496"/>
      <c r="K21" s="496"/>
      <c r="L21" s="496"/>
      <c r="M21" s="496"/>
    </row>
    <row r="22" spans="1:13" x14ac:dyDescent="0.25">
      <c r="A22" s="274" t="s">
        <v>1404</v>
      </c>
      <c r="B22" s="496"/>
      <c r="C22" s="496"/>
      <c r="D22" s="496"/>
      <c r="E22" s="496"/>
      <c r="F22" s="496"/>
      <c r="G22" s="496"/>
      <c r="H22" s="496"/>
      <c r="I22" s="496"/>
      <c r="J22" s="496"/>
      <c r="K22" s="496"/>
      <c r="L22" s="496"/>
      <c r="M22" s="496"/>
    </row>
    <row r="23" spans="1:13" x14ac:dyDescent="0.25">
      <c r="A23" s="274" t="s">
        <v>685</v>
      </c>
      <c r="B23" s="496"/>
      <c r="C23" s="496"/>
      <c r="D23" s="496"/>
      <c r="E23" s="496"/>
      <c r="F23" s="496"/>
      <c r="G23" s="496"/>
      <c r="H23" s="496"/>
      <c r="I23" s="496"/>
      <c r="J23" s="496"/>
      <c r="K23" s="496"/>
      <c r="L23" s="496"/>
      <c r="M23" s="496"/>
    </row>
    <row r="24" spans="1:13" x14ac:dyDescent="0.25">
      <c r="A24" s="274" t="s">
        <v>686</v>
      </c>
      <c r="B24" s="496"/>
      <c r="C24" s="496"/>
      <c r="D24" s="496"/>
      <c r="E24" s="496"/>
      <c r="F24" s="496"/>
      <c r="G24" s="496"/>
      <c r="H24" s="496"/>
      <c r="I24" s="496"/>
      <c r="J24" s="496"/>
      <c r="K24" s="496"/>
      <c r="L24" s="496"/>
      <c r="M24" s="496"/>
    </row>
    <row r="25" spans="1:13" x14ac:dyDescent="0.25">
      <c r="A25" s="274" t="s">
        <v>788</v>
      </c>
      <c r="B25" s="496"/>
      <c r="C25" s="496"/>
      <c r="D25" s="496"/>
      <c r="E25" s="496"/>
      <c r="F25" s="496"/>
      <c r="G25" s="496"/>
      <c r="H25" s="496"/>
      <c r="I25" s="496"/>
      <c r="J25" s="496"/>
      <c r="K25" s="496"/>
      <c r="L25" s="496"/>
      <c r="M25" s="496"/>
    </row>
    <row r="26" spans="1:13" x14ac:dyDescent="0.25">
      <c r="A26" s="274" t="s">
        <v>1055</v>
      </c>
      <c r="B26" s="496"/>
      <c r="C26" s="496"/>
      <c r="D26" s="496"/>
      <c r="E26" s="496"/>
      <c r="F26" s="496"/>
      <c r="G26" s="496"/>
      <c r="H26" s="496"/>
      <c r="I26" s="496"/>
      <c r="J26" s="496"/>
      <c r="K26" s="496"/>
      <c r="L26" s="496"/>
      <c r="M26" s="496"/>
    </row>
    <row r="27" spans="1:13" x14ac:dyDescent="0.25">
      <c r="A27" s="274" t="s">
        <v>674</v>
      </c>
      <c r="B27" s="496"/>
      <c r="C27" s="496"/>
      <c r="D27" s="496"/>
      <c r="E27" s="496"/>
      <c r="F27" s="496"/>
      <c r="G27" s="496"/>
      <c r="H27" s="496"/>
      <c r="I27" s="496"/>
      <c r="J27" s="496"/>
      <c r="K27" s="496"/>
      <c r="L27" s="496"/>
      <c r="M27" s="496"/>
    </row>
    <row r="28" spans="1:13" x14ac:dyDescent="0.25">
      <c r="A28" s="274" t="s">
        <v>1054</v>
      </c>
      <c r="B28" s="496"/>
      <c r="C28" s="496"/>
      <c r="D28" s="496"/>
      <c r="E28" s="496"/>
      <c r="F28" s="496"/>
      <c r="G28" s="496"/>
      <c r="H28" s="496"/>
      <c r="I28" s="496"/>
      <c r="J28" s="496"/>
      <c r="K28" s="496"/>
      <c r="L28" s="496"/>
      <c r="M28" s="496"/>
    </row>
    <row r="29" spans="1:13" x14ac:dyDescent="0.25">
      <c r="A29" s="274" t="s">
        <v>1221</v>
      </c>
      <c r="B29" s="496"/>
      <c r="C29" s="496"/>
      <c r="D29" s="496"/>
      <c r="E29" s="496"/>
      <c r="F29" s="496"/>
      <c r="G29" s="496"/>
      <c r="H29" s="496"/>
      <c r="I29" s="496"/>
      <c r="J29" s="496"/>
      <c r="K29" s="496"/>
      <c r="L29" s="496"/>
      <c r="M29" s="496"/>
    </row>
    <row r="30" spans="1:13" x14ac:dyDescent="0.25">
      <c r="A30" s="274" t="s">
        <v>346</v>
      </c>
      <c r="B30" s="496"/>
      <c r="C30" s="496"/>
      <c r="D30" s="496"/>
      <c r="E30" s="496"/>
      <c r="F30" s="496"/>
      <c r="G30" s="496"/>
      <c r="H30" s="496"/>
      <c r="I30" s="496"/>
      <c r="J30" s="496"/>
      <c r="K30" s="496"/>
      <c r="L30" s="496"/>
      <c r="M30" s="496"/>
    </row>
    <row r="31" spans="1:13" x14ac:dyDescent="0.25">
      <c r="A31" s="274" t="s">
        <v>1803</v>
      </c>
      <c r="B31" s="496"/>
      <c r="C31" s="496"/>
      <c r="D31" s="496"/>
      <c r="E31" s="496"/>
      <c r="F31" s="496"/>
      <c r="G31" s="496"/>
      <c r="H31" s="496"/>
      <c r="I31" s="496"/>
      <c r="J31" s="496"/>
      <c r="K31" s="496"/>
      <c r="L31" s="496"/>
      <c r="M31" s="496"/>
    </row>
    <row r="32" spans="1:13" x14ac:dyDescent="0.25">
      <c r="A32" s="274" t="s">
        <v>122</v>
      </c>
      <c r="B32" s="496"/>
      <c r="C32" s="496"/>
      <c r="D32" s="496"/>
      <c r="E32" s="496"/>
      <c r="F32" s="496"/>
      <c r="G32" s="496"/>
      <c r="H32" s="496"/>
      <c r="I32" s="496"/>
      <c r="J32" s="496"/>
      <c r="K32" s="496"/>
      <c r="L32" s="496"/>
      <c r="M32" s="496"/>
    </row>
    <row r="33" spans="1:18" x14ac:dyDescent="0.25">
      <c r="A33" s="274" t="s">
        <v>675</v>
      </c>
      <c r="B33" s="496"/>
      <c r="C33" s="496"/>
      <c r="D33" s="496"/>
      <c r="E33" s="496"/>
      <c r="F33" s="496"/>
      <c r="G33" s="496"/>
      <c r="H33" s="496"/>
      <c r="I33" s="496"/>
      <c r="J33" s="496"/>
      <c r="K33" s="496"/>
      <c r="L33" s="496"/>
      <c r="M33" s="496"/>
    </row>
    <row r="34" spans="1:18" x14ac:dyDescent="0.25">
      <c r="A34" s="274" t="s">
        <v>676</v>
      </c>
      <c r="B34" s="496"/>
      <c r="C34" s="496"/>
      <c r="D34" s="496"/>
      <c r="E34" s="496"/>
      <c r="F34" s="496"/>
      <c r="G34" s="496"/>
      <c r="H34" s="496"/>
      <c r="I34" s="496"/>
      <c r="J34" s="496"/>
      <c r="K34" s="496"/>
      <c r="L34" s="496"/>
      <c r="M34" s="496"/>
    </row>
    <row r="35" spans="1:18" x14ac:dyDescent="0.25">
      <c r="A35" s="1589" t="s">
        <v>1225</v>
      </c>
      <c r="B35" s="1590"/>
      <c r="C35" s="1590"/>
      <c r="D35" s="1615"/>
      <c r="E35" s="1616"/>
      <c r="F35" s="1617"/>
      <c r="G35" s="363"/>
      <c r="H35" s="362"/>
      <c r="I35" s="362"/>
      <c r="J35" s="1617"/>
      <c r="K35" s="363"/>
      <c r="L35" s="362"/>
      <c r="M35" s="1617"/>
    </row>
    <row r="36" spans="1:18" x14ac:dyDescent="0.25">
      <c r="A36" s="498" t="s">
        <v>911</v>
      </c>
      <c r="B36" s="499" t="s">
        <v>436</v>
      </c>
      <c r="C36" s="499"/>
      <c r="D36" s="1530"/>
      <c r="E36" s="1618">
        <f t="shared" ref="E36:E42" si="3">IF(ISERROR((E44/D44)-1),0,((E44/D44)-1))</f>
        <v>0.13306077661649307</v>
      </c>
      <c r="F36" s="483">
        <f>IF(ISERROR((F44/E44)-1),0,((F44/E44)-1))</f>
        <v>8.098992840587127E-2</v>
      </c>
      <c r="G36" s="1620">
        <f>IF(ISERROR((G44/F44)-1),0,((G44/F44)-1))</f>
        <v>-0.16143821989075091</v>
      </c>
      <c r="H36" s="1618">
        <f>IF(ISERROR((H44/G44)-1),0,((H44/G44)-1))</f>
        <v>0.22208376634748861</v>
      </c>
      <c r="I36" s="1618">
        <f>IF(ISERROR((I44/H44)-1),0,((I44/H44)-1))</f>
        <v>0</v>
      </c>
      <c r="J36" s="1621">
        <f>IF(ISERROR((J44/I44)-1),0,((J44/I44)-1))</f>
        <v>0</v>
      </c>
      <c r="K36" s="487">
        <f>IF(ISERROR((K44/H44)-1),0,((K44/H44)-1))</f>
        <v>0.45891439123500621</v>
      </c>
      <c r="L36" s="539">
        <f>IF(ISERROR((L44/K44)-1),0,((L44/K44)-1))</f>
        <v>6.0000000000000275E-2</v>
      </c>
      <c r="M36" s="483">
        <f>IF(ISERROR((M44/L44)-1),0,((M44/L44)-1))</f>
        <v>5.9999999794843051E-2</v>
      </c>
      <c r="Q36" s="291"/>
      <c r="R36" s="291"/>
    </row>
    <row r="37" spans="1:18" x14ac:dyDescent="0.25">
      <c r="A37" s="498" t="s">
        <v>912</v>
      </c>
      <c r="B37" s="499" t="s">
        <v>436</v>
      </c>
      <c r="C37" s="499"/>
      <c r="D37" s="1530"/>
      <c r="E37" s="1618">
        <f t="shared" si="3"/>
        <v>0.43337505121278941</v>
      </c>
      <c r="F37" s="483">
        <f t="shared" ref="F37:M42" si="4">IF(ISERROR((F45/E45)-1),0,((F45/E45)-1))</f>
        <v>-0.37043248880142965</v>
      </c>
      <c r="G37" s="1620">
        <f t="shared" si="4"/>
        <v>0.48784408996296902</v>
      </c>
      <c r="H37" s="1618">
        <f t="shared" si="4"/>
        <v>0.10962755449832673</v>
      </c>
      <c r="I37" s="1618">
        <f t="shared" si="4"/>
        <v>0</v>
      </c>
      <c r="J37" s="1621">
        <f t="shared" si="4"/>
        <v>0</v>
      </c>
      <c r="K37" s="487">
        <f t="shared" ref="K37:K42" si="5">IF(ISERROR((K45/H45)-1),0,((K45/H45)-1))</f>
        <v>0.4391015106428009</v>
      </c>
      <c r="L37" s="539">
        <f t="shared" si="4"/>
        <v>6.0000000000000053E-2</v>
      </c>
      <c r="M37" s="483">
        <f t="shared" si="4"/>
        <v>5.9999999999999831E-2</v>
      </c>
      <c r="Q37" s="291"/>
      <c r="R37" s="291"/>
    </row>
    <row r="38" spans="1:18" x14ac:dyDescent="0.25">
      <c r="A38" s="498" t="str">
        <f>"% incr "&amp;'A4-FinPerf RE'!A7</f>
        <v>% incr Service charges - electricity revenue</v>
      </c>
      <c r="B38" s="499" t="s">
        <v>436</v>
      </c>
      <c r="C38" s="499"/>
      <c r="D38" s="1530"/>
      <c r="E38" s="1618">
        <f t="shared" si="3"/>
        <v>0.17384120898635858</v>
      </c>
      <c r="F38" s="483">
        <f t="shared" si="4"/>
        <v>0.23783045255862834</v>
      </c>
      <c r="G38" s="1620">
        <f t="shared" si="4"/>
        <v>-0.27152512588547761</v>
      </c>
      <c r="H38" s="1618">
        <f t="shared" si="4"/>
        <v>0.30798381697763211</v>
      </c>
      <c r="I38" s="1618">
        <f t="shared" si="4"/>
        <v>0</v>
      </c>
      <c r="J38" s="1621">
        <f t="shared" si="4"/>
        <v>0</v>
      </c>
      <c r="K38" s="487">
        <f t="shared" si="5"/>
        <v>0.4709817963117795</v>
      </c>
      <c r="L38" s="539">
        <f t="shared" si="4"/>
        <v>6.0000000000000275E-2</v>
      </c>
      <c r="M38" s="483">
        <f>IF(ISERROR((M46/L46)-1),0,((M46/L46)-1))</f>
        <v>5.9999999629233969E-2</v>
      </c>
      <c r="Q38" s="291"/>
      <c r="R38" s="291"/>
    </row>
    <row r="39" spans="1:18" x14ac:dyDescent="0.25">
      <c r="A39" s="498" t="str">
        <f>"% incr "&amp;'A4-FinPerf RE'!A8</f>
        <v>% incr Service charges - water revenue</v>
      </c>
      <c r="B39" s="499" t="s">
        <v>436</v>
      </c>
      <c r="C39" s="499"/>
      <c r="D39" s="1530"/>
      <c r="E39" s="1618">
        <f t="shared" si="3"/>
        <v>7.4677312518247385E-2</v>
      </c>
      <c r="F39" s="483">
        <f t="shared" si="4"/>
        <v>0.17794137835158952</v>
      </c>
      <c r="G39" s="1620">
        <f t="shared" si="4"/>
        <v>-0.44601077349364737</v>
      </c>
      <c r="H39" s="1618">
        <f t="shared" si="4"/>
        <v>0.64265108913144497</v>
      </c>
      <c r="I39" s="1618">
        <f t="shared" si="4"/>
        <v>0</v>
      </c>
      <c r="J39" s="1621">
        <f t="shared" si="4"/>
        <v>0</v>
      </c>
      <c r="K39" s="487">
        <f t="shared" si="5"/>
        <v>-9.5142455339823906E-3</v>
      </c>
      <c r="L39" s="539">
        <f t="shared" si="4"/>
        <v>6.0000000000000053E-2</v>
      </c>
      <c r="M39" s="483">
        <f t="shared" si="4"/>
        <v>6.0000000000000053E-2</v>
      </c>
      <c r="Q39" s="291"/>
      <c r="R39" s="291"/>
    </row>
    <row r="40" spans="1:18" x14ac:dyDescent="0.25">
      <c r="A40" s="498" t="str">
        <f>"% incr "&amp;'A4-FinPerf RE'!A9</f>
        <v>% incr Service charges - sanitation revenue</v>
      </c>
      <c r="B40" s="499" t="s">
        <v>436</v>
      </c>
      <c r="C40" s="499"/>
      <c r="D40" s="1530"/>
      <c r="E40" s="1618">
        <f t="shared" si="3"/>
        <v>-0.28106674885532679</v>
      </c>
      <c r="F40" s="483">
        <f t="shared" si="4"/>
        <v>0.46883993308323091</v>
      </c>
      <c r="G40" s="1620">
        <f t="shared" si="4"/>
        <v>-0.31621722750760572</v>
      </c>
      <c r="H40" s="1618">
        <f t="shared" si="4"/>
        <v>7.2862088046108608E-2</v>
      </c>
      <c r="I40" s="1618">
        <f t="shared" si="4"/>
        <v>0</v>
      </c>
      <c r="J40" s="1621">
        <f t="shared" si="4"/>
        <v>0</v>
      </c>
      <c r="K40" s="487">
        <f t="shared" si="5"/>
        <v>1.6263333239291335</v>
      </c>
      <c r="L40" s="539">
        <f t="shared" si="4"/>
        <v>6.0000000000000053E-2</v>
      </c>
      <c r="M40" s="483">
        <f t="shared" si="4"/>
        <v>5.9999999582269758E-2</v>
      </c>
      <c r="Q40" s="291"/>
      <c r="R40" s="291"/>
    </row>
    <row r="41" spans="1:18" x14ac:dyDescent="0.25">
      <c r="A41" s="498" t="str">
        <f>"% incr "&amp;'A4-FinPerf RE'!A10</f>
        <v>% incr Service charges - refuse revenue</v>
      </c>
      <c r="B41" s="499" t="s">
        <v>436</v>
      </c>
      <c r="C41" s="499"/>
      <c r="D41" s="1530"/>
      <c r="E41" s="1618">
        <f t="shared" si="3"/>
        <v>0.14496838138141688</v>
      </c>
      <c r="F41" s="483">
        <f t="shared" si="4"/>
        <v>8.883227502724278E-2</v>
      </c>
      <c r="G41" s="1620">
        <f t="shared" si="4"/>
        <v>6.5548843759721587E-2</v>
      </c>
      <c r="H41" s="1618">
        <f t="shared" si="4"/>
        <v>-3.471063861789947E-2</v>
      </c>
      <c r="I41" s="1618">
        <f t="shared" si="4"/>
        <v>0</v>
      </c>
      <c r="J41" s="1621">
        <f t="shared" si="4"/>
        <v>0</v>
      </c>
      <c r="K41" s="487">
        <f t="shared" si="5"/>
        <v>0.30585013574443698</v>
      </c>
      <c r="L41" s="539">
        <f t="shared" si="4"/>
        <v>5.9999999999999831E-2</v>
      </c>
      <c r="M41" s="483">
        <f t="shared" si="4"/>
        <v>6.0000000000000053E-2</v>
      </c>
      <c r="Q41" s="291"/>
      <c r="R41" s="291"/>
    </row>
    <row r="42" spans="1:18" x14ac:dyDescent="0.25">
      <c r="A42" s="498" t="str">
        <f>"% incr in "&amp;'A4-FinPerf RE'!A11</f>
        <v>% incr in Service charges - other</v>
      </c>
      <c r="B42" s="499" t="s">
        <v>436</v>
      </c>
      <c r="C42" s="499"/>
      <c r="D42" s="1530"/>
      <c r="E42" s="1618">
        <f t="shared" si="3"/>
        <v>0</v>
      </c>
      <c r="F42" s="483">
        <f t="shared" si="4"/>
        <v>0</v>
      </c>
      <c r="G42" s="1620">
        <f t="shared" si="4"/>
        <v>0</v>
      </c>
      <c r="H42" s="1618">
        <f t="shared" si="4"/>
        <v>0</v>
      </c>
      <c r="I42" s="1618">
        <f>IF(ISERROR((I50/H50)-1),0,((I50/H50)-1))</f>
        <v>0</v>
      </c>
      <c r="J42" s="1621">
        <f t="shared" si="4"/>
        <v>0</v>
      </c>
      <c r="K42" s="487">
        <f t="shared" si="5"/>
        <v>0</v>
      </c>
      <c r="L42" s="539">
        <f>IF(ISERROR((L50/K50)-1),0,((L50/K50)-1))</f>
        <v>0</v>
      </c>
      <c r="M42" s="483">
        <f t="shared" si="4"/>
        <v>0</v>
      </c>
      <c r="Q42" s="291"/>
      <c r="R42" s="291"/>
    </row>
    <row r="43" spans="1:18" x14ac:dyDescent="0.25">
      <c r="A43" s="498" t="s">
        <v>779</v>
      </c>
      <c r="B43" s="499" t="s">
        <v>436</v>
      </c>
      <c r="C43" s="499"/>
      <c r="D43" s="1017">
        <f>SUM(D45:D51)</f>
        <v>15414280.257341279</v>
      </c>
      <c r="E43" s="191">
        <f t="shared" ref="E43:M43" si="6">SUM(E45:E51)</f>
        <v>17481943.738112945</v>
      </c>
      <c r="F43" s="1018">
        <f t="shared" si="6"/>
        <v>18862680.821171965</v>
      </c>
      <c r="G43" s="1017">
        <f t="shared" si="6"/>
        <v>15973823.8486</v>
      </c>
      <c r="H43" s="191">
        <f t="shared" si="6"/>
        <v>19353241</v>
      </c>
      <c r="I43" s="191">
        <f t="shared" si="6"/>
        <v>19353241</v>
      </c>
      <c r="J43" s="1018">
        <f>SUM(J45:J51)</f>
        <v>19353241</v>
      </c>
      <c r="K43" s="1017">
        <f>SUM(K45:K51)</f>
        <v>28211670.062484268</v>
      </c>
      <c r="L43" s="191">
        <f t="shared" si="6"/>
        <v>29904370.266233329</v>
      </c>
      <c r="M43" s="1018">
        <f t="shared" si="6"/>
        <v>31698632.476207331</v>
      </c>
    </row>
    <row r="44" spans="1:18" x14ac:dyDescent="0.25">
      <c r="A44" s="498" t="s">
        <v>1618</v>
      </c>
      <c r="B44" s="499"/>
      <c r="C44" s="499"/>
      <c r="D44" s="1017">
        <f>SUM(D45:D50)</f>
        <v>15066706.289999999</v>
      </c>
      <c r="E44" s="191">
        <f t="shared" ref="E44:M44" si="7">SUM(E45:E50)</f>
        <v>17071493.93</v>
      </c>
      <c r="F44" s="1018">
        <f t="shared" si="7"/>
        <v>18454113.001171965</v>
      </c>
      <c r="G44" s="1017">
        <f t="shared" si="7"/>
        <v>15474913.8486</v>
      </c>
      <c r="H44" s="191">
        <f t="shared" si="7"/>
        <v>18911641</v>
      </c>
      <c r="I44" s="191">
        <f t="shared" si="7"/>
        <v>18911641</v>
      </c>
      <c r="J44" s="1018">
        <f>SUM(J45:J50)</f>
        <v>18911641</v>
      </c>
      <c r="K44" s="1017">
        <f t="shared" si="7"/>
        <v>27590465.216769982</v>
      </c>
      <c r="L44" s="191">
        <f t="shared" si="7"/>
        <v>29245893.129776187</v>
      </c>
      <c r="M44" s="1018">
        <f t="shared" si="7"/>
        <v>31000646.71156276</v>
      </c>
    </row>
    <row r="45" spans="1:18" x14ac:dyDescent="0.25">
      <c r="A45" s="498" t="s">
        <v>543</v>
      </c>
      <c r="B45" s="499"/>
      <c r="C45" s="499"/>
      <c r="D45" s="1017">
        <f>'A4-FinPerf RE'!C5+'A4-FinPerf RE'!C6</f>
        <v>2889951.94</v>
      </c>
      <c r="E45" s="191">
        <f>'A4-FinPerf RE'!D5+'A4-FinPerf RE'!D6</f>
        <v>4142385.0100000002</v>
      </c>
      <c r="F45" s="1018">
        <f>'A4-FinPerf RE'!E5+'A4-FinPerf RE'!E6</f>
        <v>2607911.0211719652</v>
      </c>
      <c r="G45" s="1017">
        <f>'A4-FinPerf RE'!F5+'A4-FinPerf RE'!F6</f>
        <v>3880165</v>
      </c>
      <c r="H45" s="191">
        <f>'A4-FinPerf RE'!G5+'A4-FinPerf RE'!G6</f>
        <v>4305538</v>
      </c>
      <c r="I45" s="191">
        <f>'A4-FinPerf RE'!H5+'A4-FinPerf RE'!H6</f>
        <v>4305538</v>
      </c>
      <c r="J45" s="1018">
        <f>'A4-FinPerf RE'!I5+'A4-FinPerf RE'!I6</f>
        <v>4305538</v>
      </c>
      <c r="K45" s="1017">
        <f>'A4-FinPerf RE'!J5+'A4-FinPerf RE'!J6</f>
        <v>6196106.2399299834</v>
      </c>
      <c r="L45" s="191">
        <f>'A4-FinPerf RE'!K5+'A4-FinPerf RE'!K6</f>
        <v>6567872.6143257823</v>
      </c>
      <c r="M45" s="1018">
        <f>'A4-FinPerf RE'!L5+'A4-FinPerf RE'!L6</f>
        <v>6961944.9711853284</v>
      </c>
    </row>
    <row r="46" spans="1:18" x14ac:dyDescent="0.25">
      <c r="A46" s="498" t="s">
        <v>1809</v>
      </c>
      <c r="B46" s="499"/>
      <c r="C46" s="499"/>
      <c r="D46" s="1017">
        <f>'A4-FinPerf RE'!C7</f>
        <v>4997575</v>
      </c>
      <c r="E46" s="191">
        <f>'A4-FinPerf RE'!D7</f>
        <v>5866359.4800000004</v>
      </c>
      <c r="F46" s="1018">
        <f>'A4-FinPerf RE'!E7</f>
        <v>7261558.4100000001</v>
      </c>
      <c r="G46" s="1017">
        <f>'A4-FinPerf RE'!F7</f>
        <v>5289862.8486000011</v>
      </c>
      <c r="H46" s="191">
        <f>'A4-FinPerf RE'!G7</f>
        <v>6919055</v>
      </c>
      <c r="I46" s="191">
        <f>'A4-FinPerf RE'!H7</f>
        <v>6919055</v>
      </c>
      <c r="J46" s="1018">
        <f>'A4-FinPerf RE'!I7</f>
        <v>6919055</v>
      </c>
      <c r="K46" s="1017">
        <f>'A4-FinPerf RE'!J7</f>
        <v>10177803.952679999</v>
      </c>
      <c r="L46" s="191">
        <f>'A4-FinPerf RE'!K7</f>
        <v>10788472.189840801</v>
      </c>
      <c r="M46" s="1018">
        <f>'A4-FinPerf RE'!L7</f>
        <v>11435780.51723125</v>
      </c>
    </row>
    <row r="47" spans="1:18" x14ac:dyDescent="0.25">
      <c r="A47" s="498" t="s">
        <v>1810</v>
      </c>
      <c r="B47" s="499"/>
      <c r="C47" s="499"/>
      <c r="D47" s="1017">
        <f>'A4-FinPerf RE'!C8</f>
        <v>3007306</v>
      </c>
      <c r="E47" s="191">
        <f>'A4-FinPerf RE'!D8</f>
        <v>3231883.5300000003</v>
      </c>
      <c r="F47" s="1018">
        <f>'A4-FinPerf RE'!E8</f>
        <v>3806969.3400000008</v>
      </c>
      <c r="G47" s="1017">
        <f>'A4-FinPerf RE'!F8</f>
        <v>2109020</v>
      </c>
      <c r="H47" s="191">
        <f>'A4-FinPerf RE'!G8</f>
        <v>3464384</v>
      </c>
      <c r="I47" s="191">
        <f>'A4-FinPerf RE'!H8</f>
        <v>3464384</v>
      </c>
      <c r="J47" s="1018">
        <f>'A4-FinPerf RE'!I8</f>
        <v>3464384</v>
      </c>
      <c r="K47" s="1017">
        <f>'A4-FinPerf RE'!J8</f>
        <v>3431423</v>
      </c>
      <c r="L47" s="191">
        <f>'A4-FinPerf RE'!K8</f>
        <v>3637308.38</v>
      </c>
      <c r="M47" s="1018">
        <f>'A4-FinPerf RE'!L8</f>
        <v>3855546.8827999998</v>
      </c>
    </row>
    <row r="48" spans="1:18" x14ac:dyDescent="0.25">
      <c r="A48" s="498" t="s">
        <v>936</v>
      </c>
      <c r="B48" s="499"/>
      <c r="C48" s="499"/>
      <c r="D48" s="1017">
        <f>'A4-FinPerf RE'!C9</f>
        <v>2219998.0700000003</v>
      </c>
      <c r="E48" s="191">
        <f>'A4-FinPerf RE'!D9</f>
        <v>1596030.43</v>
      </c>
      <c r="F48" s="1018">
        <f>'A4-FinPerf RE'!E9</f>
        <v>2344313.23</v>
      </c>
      <c r="G48" s="1017">
        <f>'A4-FinPerf RE'!F9</f>
        <v>1603001</v>
      </c>
      <c r="H48" s="191">
        <f>'A4-FinPerf RE'!G9</f>
        <v>1719799</v>
      </c>
      <c r="I48" s="191">
        <f>'A4-FinPerf RE'!H9</f>
        <v>1719799</v>
      </c>
      <c r="J48" s="1018">
        <f>'A4-FinPerf RE'!I9</f>
        <v>1719799</v>
      </c>
      <c r="K48" s="1017">
        <f>'A4-FinPerf RE'!J9</f>
        <v>4516765.4241599999</v>
      </c>
      <c r="L48" s="191">
        <f>'A4-FinPerf RE'!K9</f>
        <v>4787771.3496096004</v>
      </c>
      <c r="M48" s="1018">
        <f>'A4-FinPerf RE'!L9</f>
        <v>5075037.6285861796</v>
      </c>
    </row>
    <row r="49" spans="1:13" x14ac:dyDescent="0.25">
      <c r="A49" s="498" t="s">
        <v>937</v>
      </c>
      <c r="B49" s="499"/>
      <c r="C49" s="499"/>
      <c r="D49" s="1017">
        <f>'A4-FinPerf RE'!C10</f>
        <v>1951875.28</v>
      </c>
      <c r="E49" s="191">
        <f>'A4-FinPerf RE'!D10</f>
        <v>2234835.48</v>
      </c>
      <c r="F49" s="1018">
        <f>'A4-FinPerf RE'!E10</f>
        <v>2433361</v>
      </c>
      <c r="G49" s="1017">
        <f>'A4-FinPerf RE'!F10</f>
        <v>2592865</v>
      </c>
      <c r="H49" s="191">
        <f>'A4-FinPerf RE'!G10</f>
        <v>2502865</v>
      </c>
      <c r="I49" s="191">
        <f>'A4-FinPerf RE'!H10</f>
        <v>2502865</v>
      </c>
      <c r="J49" s="1018">
        <f>'A4-FinPerf RE'!I10</f>
        <v>2502865</v>
      </c>
      <c r="K49" s="1017">
        <f>'A4-FinPerf RE'!J10</f>
        <v>3268366.6</v>
      </c>
      <c r="L49" s="191">
        <f>'A4-FinPerf RE'!K10</f>
        <v>3464468.5959999999</v>
      </c>
      <c r="M49" s="1018">
        <f>'A4-FinPerf RE'!L10</f>
        <v>3672336.7117599999</v>
      </c>
    </row>
    <row r="50" spans="1:13" x14ac:dyDescent="0.25">
      <c r="A50" s="498" t="s">
        <v>938</v>
      </c>
      <c r="B50" s="499"/>
      <c r="C50" s="499"/>
      <c r="D50" s="1017">
        <f>'A4-FinPerf RE'!C11</f>
        <v>0</v>
      </c>
      <c r="E50" s="191">
        <f>'A4-FinPerf RE'!D11</f>
        <v>0</v>
      </c>
      <c r="F50" s="1018">
        <f>'A4-FinPerf RE'!E11</f>
        <v>0</v>
      </c>
      <c r="G50" s="1017">
        <f>'A4-FinPerf RE'!F11</f>
        <v>0</v>
      </c>
      <c r="H50" s="191">
        <f>'A4-FinPerf RE'!G11</f>
        <v>0</v>
      </c>
      <c r="I50" s="191">
        <f>'A4-FinPerf RE'!H11</f>
        <v>0</v>
      </c>
      <c r="J50" s="1018">
        <f>'A4-FinPerf RE'!I11</f>
        <v>0</v>
      </c>
      <c r="K50" s="1017">
        <f>'A4-FinPerf RE'!J11</f>
        <v>0</v>
      </c>
      <c r="L50" s="191">
        <f>'A4-FinPerf RE'!K11</f>
        <v>0</v>
      </c>
      <c r="M50" s="1018">
        <f>'A4-FinPerf RE'!L11</f>
        <v>0</v>
      </c>
    </row>
    <row r="51" spans="1:13" x14ac:dyDescent="0.25">
      <c r="A51" s="498" t="str">
        <f>'A4-FinPerf RE'!A12</f>
        <v>Rental of facilities and equipment</v>
      </c>
      <c r="B51" s="499"/>
      <c r="C51" s="499"/>
      <c r="D51" s="1017">
        <f>'A4-FinPerf RE'!C12</f>
        <v>347573.96734127984</v>
      </c>
      <c r="E51" s="191">
        <f>'A4-FinPerf RE'!D12</f>
        <v>410449.80811294453</v>
      </c>
      <c r="F51" s="1018">
        <f>'A4-FinPerf RE'!E12</f>
        <v>408567.81999999995</v>
      </c>
      <c r="G51" s="1017">
        <f>'A4-FinPerf RE'!F12</f>
        <v>498910</v>
      </c>
      <c r="H51" s="191">
        <f>'A4-FinPerf RE'!G12</f>
        <v>441600</v>
      </c>
      <c r="I51" s="191">
        <f>'A4-FinPerf RE'!H12</f>
        <v>441600</v>
      </c>
      <c r="J51" s="1018">
        <f>'A4-FinPerf RE'!I12</f>
        <v>441600</v>
      </c>
      <c r="K51" s="1017">
        <f>'A4-FinPerf RE'!J12</f>
        <v>621204.84571428574</v>
      </c>
      <c r="L51" s="191">
        <f>'A4-FinPerf RE'!K12</f>
        <v>658477.13645714289</v>
      </c>
      <c r="M51" s="1018">
        <f>'A4-FinPerf RE'!L12</f>
        <v>697985.76464457146</v>
      </c>
    </row>
    <row r="52" spans="1:13" x14ac:dyDescent="0.25">
      <c r="A52" s="498" t="s">
        <v>984</v>
      </c>
      <c r="B52" s="499"/>
      <c r="C52" s="499"/>
      <c r="D52" s="1017">
        <f>'A5-Capex'!C40-'A5-Capex'!C70</f>
        <v>10218625.98</v>
      </c>
      <c r="E52" s="191">
        <f>'A5-Capex'!D40-'A5-Capex'!D70</f>
        <v>2638728.3482000027</v>
      </c>
      <c r="F52" s="1018">
        <f>'A5-Capex'!E40-'A5-Capex'!E70</f>
        <v>2716499.83</v>
      </c>
      <c r="G52" s="1017">
        <f>'A5-Capex'!F40-'A5-Capex'!F70</f>
        <v>0</v>
      </c>
      <c r="H52" s="191">
        <f>'A5-Capex'!G40-'A5-Capex'!G70</f>
        <v>292000</v>
      </c>
      <c r="I52" s="191">
        <f>'A5-Capex'!H40-'A5-Capex'!H70</f>
        <v>292000</v>
      </c>
      <c r="J52" s="1018">
        <f>'A5-Capex'!I40-'A5-Capex'!I70</f>
        <v>292000</v>
      </c>
      <c r="K52" s="1017">
        <f>'A5-Capex'!J40-'A5-Capex'!J70</f>
        <v>1455000</v>
      </c>
      <c r="L52" s="191">
        <f>'A5-Capex'!K40-'A5-Capex'!K70</f>
        <v>2351300</v>
      </c>
      <c r="M52" s="1018">
        <f>'A5-Capex'!L40-'A5-Capex'!L70</f>
        <v>1634838</v>
      </c>
    </row>
    <row r="53" spans="1:13" x14ac:dyDescent="0.25">
      <c r="A53" s="498" t="s">
        <v>983</v>
      </c>
      <c r="B53" s="499" t="s">
        <v>436</v>
      </c>
      <c r="C53" s="499"/>
      <c r="D53" s="204">
        <f>'A7-CFlow'!C6</f>
        <v>56997896</v>
      </c>
      <c r="E53" s="201">
        <f>'A7-CFlow'!D6</f>
        <v>26201176</v>
      </c>
      <c r="F53" s="650">
        <f>'A7-CFlow'!E6</f>
        <v>39355746</v>
      </c>
      <c r="G53" s="204">
        <f>'A7-CFlow'!F6</f>
        <v>20324780.706879999</v>
      </c>
      <c r="H53" s="201">
        <f>'A7-CFlow'!G6</f>
        <v>30606296.719999995</v>
      </c>
      <c r="I53" s="201">
        <f>'A7-CFlow'!H6</f>
        <v>30606296.719999995</v>
      </c>
      <c r="J53" s="650">
        <f>'A7-CFlow'!I6</f>
        <v>30606296.719999995</v>
      </c>
      <c r="K53" s="204">
        <f>'A7-CFlow'!J6</f>
        <v>44809743.448484272</v>
      </c>
      <c r="L53" s="201">
        <f>'A7-CFlow'!K6</f>
        <v>47381706.910473317</v>
      </c>
      <c r="M53" s="1018">
        <f>'A7-CFlow'!L6</f>
        <v>49883258.51371932</v>
      </c>
    </row>
    <row r="54" spans="1:13" x14ac:dyDescent="0.25">
      <c r="A54" s="503" t="s">
        <v>1804</v>
      </c>
      <c r="B54" s="499" t="s">
        <v>436</v>
      </c>
      <c r="C54" s="499"/>
      <c r="D54" s="204">
        <f>SUM('A4-FinPerf RE'!C5:C12)+'A4-FinPerf RE'!C14+SUM('A4-FinPerf RE'!C16:C18)+'A4-FinPerf RE'!C20</f>
        <v>33319046.897341274</v>
      </c>
      <c r="E54" s="201">
        <f>SUM('A4-FinPerf RE'!D5:D12)+'A4-FinPerf RE'!D14+SUM('A4-FinPerf RE'!D16:D18)+'A4-FinPerf RE'!D20</f>
        <v>36115464.63811294</v>
      </c>
      <c r="F54" s="650">
        <f>SUM('A4-FinPerf RE'!E5:E12)+'A4-FinPerf RE'!E14+SUM('A4-FinPerf RE'!E16:E18)+'A4-FinPerf RE'!E20</f>
        <v>40762495.290871963</v>
      </c>
      <c r="G54" s="204">
        <f>SUM('A4-FinPerf RE'!F5:F12)+'A4-FinPerf RE'!F14+SUM('A4-FinPerf RE'!F16:F18)+'A4-FinPerf RE'!F20</f>
        <v>34837873.8486</v>
      </c>
      <c r="H54" s="201">
        <f>SUM('A4-FinPerf RE'!G5:G12)+'A4-FinPerf RE'!G14+SUM('A4-FinPerf RE'!G16:G18)+'A4-FinPerf RE'!G20</f>
        <v>38866591</v>
      </c>
      <c r="I54" s="201">
        <f>SUM('A4-FinPerf RE'!H5:H12)+'A4-FinPerf RE'!H14+SUM('A4-FinPerf RE'!H16:H18)+'A4-FinPerf RE'!H20</f>
        <v>38866591</v>
      </c>
      <c r="J54" s="650">
        <f>SUM('A4-FinPerf RE'!I5:I12)+'A4-FinPerf RE'!I14+SUM('A4-FinPerf RE'!I16:I18)+'A4-FinPerf RE'!I20</f>
        <v>38866591</v>
      </c>
      <c r="K54" s="204">
        <f>SUM('A4-FinPerf RE'!J5:J12)+'A4-FinPerf RE'!J14+SUM('A4-FinPerf RE'!J16:J18)+'A4-FinPerf RE'!J20</f>
        <v>49806920.062484264</v>
      </c>
      <c r="L54" s="201">
        <f>SUM('A4-FinPerf RE'!K5:K12)+'A4-FinPerf RE'!K14+SUM('A4-FinPerf RE'!K16:K18)+'A4-FinPerf RE'!K20</f>
        <v>52795335.266233325</v>
      </c>
      <c r="M54" s="650">
        <f>SUM('A4-FinPerf RE'!L5:L12)+'A4-FinPerf RE'!L14+SUM('A4-FinPerf RE'!L16:L18)+'A4-FinPerf RE'!L20</f>
        <v>55963055.376207329</v>
      </c>
    </row>
    <row r="55" spans="1:13" x14ac:dyDescent="0.25">
      <c r="A55" s="503" t="s">
        <v>670</v>
      </c>
      <c r="B55" s="499"/>
      <c r="C55" s="499"/>
      <c r="D55" s="204">
        <f>D84</f>
        <v>-7260731.6900000013</v>
      </c>
      <c r="E55" s="201">
        <f>(SUM('A6-FinPos'!D8:D10)+'A6-FinPos'!D15)-(SUM('A6-FinPos'!C8:C10)+'A6-FinPos'!C15)</f>
        <v>-7556049</v>
      </c>
      <c r="F55" s="650">
        <f>(SUM('A6-FinPos'!E8:E10)+'A6-FinPos'!E15)-(SUM('A6-FinPos'!D8:D10)+'A6-FinPos'!D15)</f>
        <v>-3159594.93</v>
      </c>
      <c r="G55" s="204">
        <f>(SUM('A6-FinPos'!F8:F10)+'A6-FinPos'!F15)-(SUM('A6-FinPos'!E8:E10)+'A6-FinPos'!E15)</f>
        <v>11522078.75</v>
      </c>
      <c r="H55" s="201">
        <f>(SUM('A6-FinPos'!G8:G10)+'A6-FinPos'!G15)-(SUM('A6-FinPos'!E8:E10)+'A6-FinPos'!E15)</f>
        <v>-535044.71999999881</v>
      </c>
      <c r="I55" s="201">
        <f>(SUM('A6-FinPos'!H8:H10)+'A6-FinPos'!H15)-(SUM('A6-FinPos'!E8:E10)+'A6-FinPos'!E15)</f>
        <v>-535044.71999999881</v>
      </c>
      <c r="J55" s="650">
        <f>(SUM('A6-FinPos'!I8:I10)+'A6-FinPos'!I15)-(SUM('A6-FinPos'!E8:E10)+'A6-FinPos'!E15)</f>
        <v>-535044.71999999881</v>
      </c>
      <c r="K55" s="204">
        <f>(SUM('A6-FinPos'!J8:J10)+'A6-FinPos'!J15)-(SUM('A6-FinPos'!F8:F10)+'A6-FinPos'!F15)</f>
        <v>-12034001.316</v>
      </c>
      <c r="L55" s="201">
        <f>(SUM('A6-FinPos'!K8:K10)+'A6-FinPos'!K15)-(SUM('A6-FinPos'!J8:J10)+'A6-FinPos'!J15)</f>
        <v>141130.62815999985</v>
      </c>
      <c r="M55" s="650">
        <f>(SUM('A6-FinPos'!L8:L10)+'A6-FinPos'!L15)-(SUM('A6-FinPos'!K8:K10)+'A6-FinPos'!K15)</f>
        <v>490949.27123200148</v>
      </c>
    </row>
    <row r="56" spans="1:13" x14ac:dyDescent="0.25">
      <c r="A56" s="503" t="s">
        <v>1224</v>
      </c>
      <c r="B56" s="499" t="s">
        <v>436</v>
      </c>
      <c r="C56" s="499"/>
      <c r="D56" s="204">
        <f>'A4-FinPerf RE'!C19+'A4-FinPerf RE'!C39</f>
        <v>35690775.583800003</v>
      </c>
      <c r="E56" s="201">
        <f>'A4-FinPerf RE'!D19+'A4-FinPerf RE'!D39</f>
        <v>26317131.984000001</v>
      </c>
      <c r="F56" s="650">
        <f>'A4-FinPerf RE'!E19+'A4-FinPerf RE'!E39</f>
        <v>19732170.869999997</v>
      </c>
      <c r="G56" s="204">
        <f>'A4-FinPerf RE'!F19+'A4-FinPerf RE'!F39</f>
        <v>27549000</v>
      </c>
      <c r="H56" s="201">
        <f>'A4-FinPerf RE'!G19+'A4-FinPerf RE'!G39</f>
        <v>28111000</v>
      </c>
      <c r="I56" s="201">
        <f>'A4-FinPerf RE'!H19+'A4-FinPerf RE'!H39</f>
        <v>28111000</v>
      </c>
      <c r="J56" s="650">
        <f>'A4-FinPerf RE'!I19+'A4-FinPerf RE'!I39</f>
        <v>28111000</v>
      </c>
      <c r="K56" s="204">
        <f>'A4-FinPerf RE'!J19+'A4-FinPerf RE'!J39</f>
        <v>32295000</v>
      </c>
      <c r="L56" s="201">
        <f>'A4-FinPerf RE'!K19+'A4-FinPerf RE'!K39</f>
        <v>34777800</v>
      </c>
      <c r="M56" s="650">
        <f>'A4-FinPerf RE'!L19+'A4-FinPerf RE'!L39</f>
        <v>37132408</v>
      </c>
    </row>
    <row r="57" spans="1:13" x14ac:dyDescent="0.25">
      <c r="A57" s="503" t="s">
        <v>1226</v>
      </c>
      <c r="B57" s="504" t="str">
        <f>B17</f>
        <v>20(1)(vi)</v>
      </c>
      <c r="C57" s="499"/>
      <c r="D57" s="204">
        <f>'A5-Capex'!C40</f>
        <v>16811861</v>
      </c>
      <c r="E57" s="201">
        <f>'A5-Capex'!D40</f>
        <v>15704226.650000002</v>
      </c>
      <c r="F57" s="650">
        <f>'A5-Capex'!E40</f>
        <v>6146772.8300000001</v>
      </c>
      <c r="G57" s="204">
        <f>'A5-Capex'!F40</f>
        <v>9488000</v>
      </c>
      <c r="H57" s="201">
        <f>'A5-Capex'!G40</f>
        <v>9780000</v>
      </c>
      <c r="I57" s="201">
        <f>'A5-Capex'!H40</f>
        <v>9780000</v>
      </c>
      <c r="J57" s="650">
        <f>'A5-Capex'!I40</f>
        <v>9780000</v>
      </c>
      <c r="K57" s="204">
        <f>'A5-Capex'!J40</f>
        <v>12965000</v>
      </c>
      <c r="L57" s="201">
        <f>'A5-Capex'!K40</f>
        <v>14492300</v>
      </c>
      <c r="M57" s="650">
        <f>'A5-Capex'!L40</f>
        <v>14477838</v>
      </c>
    </row>
    <row r="58" spans="1:13" x14ac:dyDescent="0.25">
      <c r="A58" s="503" t="s">
        <v>1227</v>
      </c>
      <c r="B58" s="504" t="str">
        <f>B18</f>
        <v>20(1)(vi)</v>
      </c>
      <c r="C58" s="499"/>
      <c r="D58" s="204">
        <f>'A9-Asset'!C20</f>
        <v>0</v>
      </c>
      <c r="E58" s="201">
        <f>'A9-Asset'!D20</f>
        <v>0</v>
      </c>
      <c r="F58" s="650">
        <f>'A9-Asset'!E20</f>
        <v>0</v>
      </c>
      <c r="G58" s="204">
        <f>'A9-Asset'!F20</f>
        <v>0</v>
      </c>
      <c r="H58" s="201">
        <f>'A9-Asset'!G20</f>
        <v>0</v>
      </c>
      <c r="I58" s="201">
        <f>'A9-Asset'!H20</f>
        <v>0</v>
      </c>
      <c r="J58" s="201"/>
      <c r="K58" s="204">
        <f>'A9-Asset'!I20</f>
        <v>0</v>
      </c>
      <c r="L58" s="201">
        <f>'A9-Asset'!J20</f>
        <v>0</v>
      </c>
      <c r="M58" s="650">
        <f>'A9-Asset'!K20</f>
        <v>0</v>
      </c>
    </row>
    <row r="59" spans="1:13" ht="6" customHeight="1" x14ac:dyDescent="0.25">
      <c r="A59" s="503"/>
      <c r="B59" s="499"/>
      <c r="C59" s="499"/>
      <c r="D59" s="1532"/>
      <c r="E59" s="279"/>
      <c r="F59" s="1619"/>
      <c r="G59" s="366"/>
      <c r="H59" s="365"/>
      <c r="I59" s="365"/>
      <c r="J59" s="1619"/>
      <c r="K59" s="366"/>
      <c r="L59" s="365"/>
      <c r="M59" s="1619"/>
    </row>
    <row r="60" spans="1:13" x14ac:dyDescent="0.25">
      <c r="A60" s="497" t="s">
        <v>9</v>
      </c>
      <c r="B60" s="499"/>
      <c r="C60" s="499"/>
      <c r="D60" s="1532"/>
      <c r="E60" s="279"/>
      <c r="F60" s="1619"/>
      <c r="G60" s="366"/>
      <c r="H60" s="365"/>
      <c r="I60" s="365"/>
      <c r="J60" s="1619"/>
      <c r="K60" s="366"/>
      <c r="L60" s="365"/>
      <c r="M60" s="1619"/>
    </row>
    <row r="61" spans="1:13" x14ac:dyDescent="0.25">
      <c r="A61" s="503" t="s">
        <v>468</v>
      </c>
      <c r="B61" s="499"/>
      <c r="C61" s="499"/>
      <c r="D61" s="1620">
        <v>0.06</v>
      </c>
      <c r="E61" s="1618">
        <v>0.06</v>
      </c>
      <c r="F61" s="1621">
        <v>0.06</v>
      </c>
      <c r="G61" s="1620">
        <v>0.06</v>
      </c>
      <c r="H61" s="1618">
        <v>0.06</v>
      </c>
      <c r="I61" s="1618">
        <v>0.06</v>
      </c>
      <c r="J61" s="1621">
        <v>0.06</v>
      </c>
      <c r="K61" s="1620">
        <v>0.06</v>
      </c>
      <c r="L61" s="1618">
        <v>0.06</v>
      </c>
      <c r="M61" s="1621">
        <v>0.06</v>
      </c>
    </row>
    <row r="62" spans="1:13" x14ac:dyDescent="0.25">
      <c r="A62" s="503" t="s">
        <v>2085</v>
      </c>
      <c r="B62" s="499"/>
      <c r="C62" s="499"/>
      <c r="D62" s="1620">
        <v>4.2999999999999997E-2</v>
      </c>
      <c r="E62" s="1618">
        <v>3.9E-2</v>
      </c>
      <c r="F62" s="1621">
        <v>4.5999999999999999E-2</v>
      </c>
      <c r="G62" s="1620">
        <v>0.05</v>
      </c>
      <c r="H62" s="1618">
        <v>0.05</v>
      </c>
      <c r="I62" s="1618">
        <v>0.05</v>
      </c>
      <c r="J62" s="1621">
        <v>0.05</v>
      </c>
      <c r="K62" s="1620">
        <v>5.3999999999999999E-2</v>
      </c>
      <c r="L62" s="1618">
        <v>5.6000000000000001E-2</v>
      </c>
      <c r="M62" s="1621">
        <v>5.3999999999999999E-2</v>
      </c>
    </row>
    <row r="63" spans="1:13" x14ac:dyDescent="0.25">
      <c r="A63" s="503" t="s">
        <v>1507</v>
      </c>
      <c r="B63" s="499"/>
      <c r="C63" s="499"/>
      <c r="D63" s="1622"/>
      <c r="E63" s="1623"/>
      <c r="F63" s="1624"/>
      <c r="G63" s="1625"/>
      <c r="H63" s="1626"/>
      <c r="I63" s="1626"/>
      <c r="J63" s="1624"/>
      <c r="K63" s="1320"/>
      <c r="L63" s="1318"/>
      <c r="M63" s="1321"/>
    </row>
    <row r="64" spans="1:13" x14ac:dyDescent="0.25">
      <c r="A64" s="503" t="s">
        <v>1508</v>
      </c>
      <c r="B64" s="499"/>
      <c r="C64" s="499"/>
      <c r="D64" s="1622"/>
      <c r="E64" s="1623"/>
      <c r="F64" s="1624"/>
      <c r="G64" s="1625"/>
      <c r="H64" s="1626"/>
      <c r="I64" s="1626"/>
      <c r="J64" s="1624"/>
      <c r="K64" s="1320"/>
      <c r="L64" s="1318"/>
      <c r="M64" s="1321"/>
    </row>
    <row r="65" spans="1:13" x14ac:dyDescent="0.25">
      <c r="A65" s="503" t="s">
        <v>1509</v>
      </c>
      <c r="B65" s="499"/>
      <c r="C65" s="499"/>
      <c r="D65" s="1622"/>
      <c r="E65" s="1623"/>
      <c r="F65" s="1624"/>
      <c r="G65" s="1625"/>
      <c r="H65" s="1626"/>
      <c r="I65" s="1626"/>
      <c r="J65" s="1624"/>
      <c r="K65" s="1320"/>
      <c r="L65" s="1318"/>
      <c r="M65" s="1321"/>
    </row>
    <row r="66" spans="1:13" x14ac:dyDescent="0.25">
      <c r="A66" s="503" t="s">
        <v>1510</v>
      </c>
      <c r="B66" s="499"/>
      <c r="C66" s="499"/>
      <c r="D66" s="1622"/>
      <c r="E66" s="1623"/>
      <c r="F66" s="1624"/>
      <c r="G66" s="1625"/>
      <c r="H66" s="1626"/>
      <c r="I66" s="1626"/>
      <c r="J66" s="1624"/>
      <c r="K66" s="1320"/>
      <c r="L66" s="1318"/>
      <c r="M66" s="1321"/>
    </row>
    <row r="67" spans="1:13" x14ac:dyDescent="0.25">
      <c r="A67" s="503" t="s">
        <v>1223</v>
      </c>
      <c r="B67" s="499"/>
      <c r="C67" s="499"/>
      <c r="D67" s="1622"/>
      <c r="E67" s="1623"/>
      <c r="F67" s="1624"/>
      <c r="G67" s="1625"/>
      <c r="H67" s="1626"/>
      <c r="I67" s="1626"/>
      <c r="J67" s="1624"/>
      <c r="K67" s="1320"/>
      <c r="L67" s="1318"/>
      <c r="M67" s="1321"/>
    </row>
    <row r="68" spans="1:13" x14ac:dyDescent="0.25">
      <c r="A68" s="503" t="s">
        <v>1222</v>
      </c>
      <c r="B68" s="499"/>
      <c r="C68" s="499"/>
      <c r="D68" s="1625"/>
      <c r="E68" s="1626"/>
      <c r="F68" s="1624"/>
      <c r="G68" s="1625"/>
      <c r="H68" s="1626"/>
      <c r="I68" s="1626"/>
      <c r="J68" s="1624"/>
      <c r="K68" s="209">
        <f>SUM(K63:K67)</f>
        <v>0</v>
      </c>
      <c r="L68" s="205">
        <f>SUM(L63:L67)</f>
        <v>0</v>
      </c>
      <c r="M68" s="475">
        <f>SUM(M63:M67)</f>
        <v>0</v>
      </c>
    </row>
    <row r="69" spans="1:13" x14ac:dyDescent="0.25">
      <c r="A69" s="503" t="s">
        <v>10</v>
      </c>
      <c r="B69" s="499"/>
      <c r="C69" s="499"/>
      <c r="D69" s="1530"/>
      <c r="E69" s="1515"/>
      <c r="F69" s="1621"/>
      <c r="G69" s="1620"/>
      <c r="H69" s="1618"/>
      <c r="I69" s="1618"/>
      <c r="J69" s="1621"/>
      <c r="K69" s="1620"/>
      <c r="L69" s="1618"/>
      <c r="M69" s="1621"/>
    </row>
    <row r="70" spans="1:13" ht="13.5" thickBot="1" x14ac:dyDescent="0.3">
      <c r="A70" s="505"/>
      <c r="B70" s="506"/>
      <c r="C70" s="506"/>
      <c r="D70" s="1627"/>
      <c r="E70" s="1628"/>
      <c r="F70" s="1629"/>
      <c r="G70" s="1630"/>
      <c r="H70" s="1631"/>
      <c r="I70" s="1631"/>
      <c r="J70" s="1629"/>
      <c r="K70" s="1630"/>
      <c r="L70" s="1631"/>
      <c r="M70" s="1629"/>
    </row>
    <row r="71" spans="1:13" x14ac:dyDescent="0.25">
      <c r="A71" s="507" t="s">
        <v>1263</v>
      </c>
      <c r="J71" s="1276"/>
      <c r="K71" s="1632"/>
      <c r="L71" s="1633"/>
      <c r="M71" s="1634"/>
    </row>
    <row r="72" spans="1:13" x14ac:dyDescent="0.25">
      <c r="A72" s="1374" t="s">
        <v>1609</v>
      </c>
      <c r="D72" s="1601"/>
      <c r="E72" s="1601"/>
      <c r="F72" s="1602"/>
      <c r="G72" s="1602"/>
      <c r="H72" s="1602"/>
      <c r="I72" s="1602"/>
      <c r="J72" s="1603"/>
      <c r="K72" s="1320"/>
      <c r="L72" s="1318"/>
      <c r="M72" s="1321"/>
    </row>
    <row r="73" spans="1:13" x14ac:dyDescent="0.25">
      <c r="A73" s="1341"/>
      <c r="D73" s="1601"/>
      <c r="E73" s="1601"/>
      <c r="F73" s="1602"/>
      <c r="G73" s="1602"/>
      <c r="H73" s="1602"/>
      <c r="I73" s="1602"/>
      <c r="J73" s="1603"/>
      <c r="K73" s="1320"/>
      <c r="L73" s="1318"/>
      <c r="M73" s="1321"/>
    </row>
    <row r="74" spans="1:13" x14ac:dyDescent="0.25">
      <c r="A74" s="1341"/>
      <c r="D74" s="1601"/>
      <c r="E74" s="1601"/>
      <c r="F74" s="1602"/>
      <c r="G74" s="1602"/>
      <c r="H74" s="1602"/>
      <c r="I74" s="1602"/>
      <c r="J74" s="1603"/>
      <c r="K74" s="1320"/>
      <c r="L74" s="1318"/>
      <c r="M74" s="1321"/>
    </row>
    <row r="75" spans="1:13" x14ac:dyDescent="0.25">
      <c r="A75" s="1341"/>
      <c r="D75" s="1601"/>
      <c r="E75" s="1601"/>
      <c r="F75" s="1602"/>
      <c r="G75" s="1602"/>
      <c r="H75" s="1602"/>
      <c r="I75" s="1602"/>
      <c r="J75" s="1603"/>
      <c r="K75" s="1320"/>
      <c r="L75" s="1318"/>
      <c r="M75" s="1321"/>
    </row>
    <row r="76" spans="1:13" ht="13.5" thickBot="1" x14ac:dyDescent="0.3">
      <c r="D76" s="1601"/>
      <c r="E76" s="1601"/>
      <c r="F76" s="1602"/>
      <c r="G76" s="1602"/>
      <c r="H76" s="1602"/>
      <c r="I76" s="1602"/>
      <c r="J76" s="1603"/>
      <c r="K76" s="1635">
        <f>SUM(K72:K75)</f>
        <v>0</v>
      </c>
      <c r="L76" s="1636">
        <f>SUM(L72:L75)</f>
        <v>0</v>
      </c>
      <c r="M76" s="1637">
        <f>SUM(M72:M75)</f>
        <v>0</v>
      </c>
    </row>
    <row r="77" spans="1:13" ht="13.5" thickTop="1" x14ac:dyDescent="0.25">
      <c r="A77" s="507" t="s">
        <v>284</v>
      </c>
      <c r="J77" s="1276"/>
      <c r="K77" s="204"/>
      <c r="L77" s="201"/>
      <c r="M77" s="650"/>
    </row>
    <row r="78" spans="1:13" x14ac:dyDescent="0.25">
      <c r="A78" s="1374" t="s">
        <v>1610</v>
      </c>
      <c r="D78" s="1601"/>
      <c r="E78" s="1601"/>
      <c r="F78" s="1602"/>
      <c r="G78" s="1602"/>
      <c r="H78" s="1602"/>
      <c r="I78" s="1602"/>
      <c r="J78" s="1603"/>
      <c r="K78" s="1320"/>
      <c r="L78" s="1318"/>
      <c r="M78" s="1321"/>
    </row>
    <row r="79" spans="1:13" x14ac:dyDescent="0.25">
      <c r="A79" s="1341"/>
      <c r="D79" s="1601"/>
      <c r="E79" s="1601"/>
      <c r="F79" s="1602"/>
      <c r="G79" s="1602"/>
      <c r="H79" s="1602"/>
      <c r="I79" s="1602"/>
      <c r="J79" s="1603"/>
      <c r="K79" s="1320"/>
      <c r="L79" s="1318"/>
      <c r="M79" s="1321"/>
    </row>
    <row r="80" spans="1:13" x14ac:dyDescent="0.25">
      <c r="A80" s="1341"/>
      <c r="D80" s="1601"/>
      <c r="E80" s="1601"/>
      <c r="F80" s="1602"/>
      <c r="G80" s="1602"/>
      <c r="H80" s="1602"/>
      <c r="I80" s="1602"/>
      <c r="J80" s="1603"/>
      <c r="K80" s="1320"/>
      <c r="L80" s="1318"/>
      <c r="M80" s="1321"/>
    </row>
    <row r="81" spans="1:14" x14ac:dyDescent="0.25">
      <c r="A81" s="1341"/>
      <c r="D81" s="1601"/>
      <c r="E81" s="1601"/>
      <c r="F81" s="1602"/>
      <c r="G81" s="1602"/>
      <c r="H81" s="1602"/>
      <c r="I81" s="1602"/>
      <c r="J81" s="1603"/>
      <c r="K81" s="1320"/>
      <c r="L81" s="1318"/>
      <c r="M81" s="1321"/>
    </row>
    <row r="82" spans="1:14" ht="13.5" thickBot="1" x14ac:dyDescent="0.3">
      <c r="A82" s="1289"/>
      <c r="B82" s="309"/>
      <c r="C82" s="309"/>
      <c r="D82" s="1604"/>
      <c r="E82" s="1604"/>
      <c r="F82" s="1605"/>
      <c r="G82" s="1605"/>
      <c r="H82" s="1605"/>
      <c r="I82" s="1605"/>
      <c r="J82" s="1606"/>
      <c r="K82" s="1635">
        <f>SUM(K78:K81)</f>
        <v>0</v>
      </c>
      <c r="L82" s="1636">
        <f>SUM(L78:L81)</f>
        <v>0</v>
      </c>
      <c r="M82" s="1637">
        <f>SUM(M78:M81)</f>
        <v>0</v>
      </c>
    </row>
    <row r="83" spans="1:14" ht="13.5" thickTop="1" x14ac:dyDescent="0.25">
      <c r="A83" s="507" t="s">
        <v>673</v>
      </c>
      <c r="M83" s="1300"/>
    </row>
    <row r="84" spans="1:14" x14ac:dyDescent="0.25">
      <c r="A84" s="148" t="str">
        <f>A55</f>
        <v>Change in consumer debtors (current and non-current)</v>
      </c>
      <c r="D84" s="508">
        <f>TREND(E84:G84)</f>
        <v>-7260731.6900000013</v>
      </c>
      <c r="E84" s="508">
        <f>E55</f>
        <v>-7556049</v>
      </c>
      <c r="F84" s="508">
        <f>F55</f>
        <v>-3159594.93</v>
      </c>
      <c r="G84" s="330">
        <f>J55</f>
        <v>-535044.71999999881</v>
      </c>
      <c r="H84" s="330">
        <f t="shared" ref="H84:M84" si="8">K55</f>
        <v>-12034001.316</v>
      </c>
      <c r="I84" s="330">
        <f t="shared" si="8"/>
        <v>141130.62815999985</v>
      </c>
      <c r="J84" s="330">
        <f t="shared" si="8"/>
        <v>490949.27123200148</v>
      </c>
      <c r="K84" s="330">
        <f t="shared" si="8"/>
        <v>0</v>
      </c>
      <c r="L84" s="330">
        <f t="shared" si="8"/>
        <v>0</v>
      </c>
      <c r="M84" s="202">
        <f t="shared" si="8"/>
        <v>0</v>
      </c>
    </row>
    <row r="85" spans="1:14" ht="12" customHeight="1" x14ac:dyDescent="0.25">
      <c r="M85" s="1290"/>
    </row>
    <row r="86" spans="1:14" x14ac:dyDescent="0.25">
      <c r="A86" s="1287" t="s">
        <v>1870</v>
      </c>
      <c r="B86" s="1285"/>
      <c r="C86" s="1286"/>
      <c r="D86" s="1607">
        <f>'A1-Sum'!B10</f>
        <v>63290072.241141275</v>
      </c>
      <c r="E86" s="1608">
        <f>'A1-Sum'!C10</f>
        <v>49785921.960312948</v>
      </c>
      <c r="F86" s="1609">
        <f>'A1-Sum'!D10</f>
        <v>57439888.047871962</v>
      </c>
      <c r="G86" s="1607">
        <f>'A1-Sum'!E10</f>
        <v>53204973.8486</v>
      </c>
      <c r="H86" s="1608">
        <f>'A1-Sum'!F10</f>
        <v>57884591</v>
      </c>
      <c r="I86" s="1608">
        <f>'A1-Sum'!G10</f>
        <v>57884591</v>
      </c>
      <c r="J86" s="1609">
        <f>'A1-Sum'!H10</f>
        <v>57884591</v>
      </c>
      <c r="K86" s="1607">
        <f>'A1-Sum'!I10</f>
        <v>71196920.062484264</v>
      </c>
      <c r="L86" s="1608">
        <f>'A1-Sum'!J10</f>
        <v>76073435.266233325</v>
      </c>
      <c r="M86" s="1610">
        <f>'A1-Sum'!K10</f>
        <v>80932241.376207322</v>
      </c>
      <c r="N86" s="241"/>
    </row>
    <row r="87" spans="1:14" x14ac:dyDescent="0.25">
      <c r="A87" s="1277" t="s">
        <v>1871</v>
      </c>
      <c r="B87" s="1284"/>
      <c r="C87" s="499"/>
      <c r="D87" s="1519">
        <f>'A1-Sum'!B18</f>
        <v>51779292.4865738</v>
      </c>
      <c r="E87" s="301">
        <f>'A1-Sum'!C18</f>
        <v>59199697.00019376</v>
      </c>
      <c r="F87" s="1522">
        <f>'A1-Sum'!D18</f>
        <v>66940830.255803779</v>
      </c>
      <c r="G87" s="1519">
        <f>'A1-Sum'!E18</f>
        <v>69872564.549387991</v>
      </c>
      <c r="H87" s="301">
        <f>'A1-Sum'!F18</f>
        <v>82805144.285714284</v>
      </c>
      <c r="I87" s="301">
        <f>'A1-Sum'!G18</f>
        <v>82805144.285714284</v>
      </c>
      <c r="J87" s="1522">
        <f>'A1-Sum'!H18</f>
        <v>82805144.285714284</v>
      </c>
      <c r="K87" s="1519">
        <f>'A1-Sum'!I18</f>
        <v>86297787.084331125</v>
      </c>
      <c r="L87" s="301">
        <f>'A1-Sum'!J18</f>
        <v>89152618.309390992</v>
      </c>
      <c r="M87" s="1301">
        <f>'A1-Sum'!K18</f>
        <v>94618139.407954454</v>
      </c>
      <c r="N87" s="241"/>
    </row>
    <row r="88" spans="1:14" x14ac:dyDescent="0.25">
      <c r="A88" s="1277" t="s">
        <v>1872</v>
      </c>
      <c r="B88" s="1284"/>
      <c r="C88" s="499"/>
      <c r="D88" s="1519">
        <f>D86-D87</f>
        <v>11510779.754567474</v>
      </c>
      <c r="E88" s="301">
        <f t="shared" ref="E88:M88" si="9">E86-E87</f>
        <v>-9413775.0398808122</v>
      </c>
      <c r="F88" s="1522">
        <f t="shared" si="9"/>
        <v>-9500942.2079318166</v>
      </c>
      <c r="G88" s="1519">
        <f t="shared" si="9"/>
        <v>-16667590.700787991</v>
      </c>
      <c r="H88" s="301">
        <f t="shared" si="9"/>
        <v>-24920553.285714284</v>
      </c>
      <c r="I88" s="301">
        <f t="shared" si="9"/>
        <v>-24920553.285714284</v>
      </c>
      <c r="J88" s="1522">
        <f t="shared" si="9"/>
        <v>-24920553.285714284</v>
      </c>
      <c r="K88" s="1519">
        <f>K86-K87</f>
        <v>-15100867.021846861</v>
      </c>
      <c r="L88" s="301">
        <f t="shared" si="9"/>
        <v>-13079183.043157667</v>
      </c>
      <c r="M88" s="1301">
        <f t="shared" si="9"/>
        <v>-13685898.031747133</v>
      </c>
      <c r="N88" s="241"/>
    </row>
    <row r="89" spans="1:14" x14ac:dyDescent="0.25">
      <c r="A89" s="1277" t="s">
        <v>1954</v>
      </c>
      <c r="B89" s="1284"/>
      <c r="C89" s="499"/>
      <c r="D89" s="1611"/>
      <c r="E89" s="1612"/>
      <c r="F89" s="1613"/>
      <c r="G89" s="1614"/>
      <c r="H89" s="391"/>
      <c r="I89" s="391"/>
      <c r="J89" s="1613"/>
      <c r="K89" s="1611">
        <f>'A7-CFlow'!J38</f>
        <v>-25238949.415221825</v>
      </c>
      <c r="L89" s="391"/>
      <c r="M89" s="1584"/>
      <c r="N89" s="241"/>
    </row>
    <row r="90" spans="1:14" x14ac:dyDescent="0.25">
      <c r="A90" s="1273" t="s">
        <v>1873</v>
      </c>
      <c r="B90" s="1288"/>
      <c r="C90" s="390"/>
      <c r="D90" s="278"/>
      <c r="E90" s="278"/>
      <c r="F90" s="470"/>
      <c r="G90" s="472"/>
      <c r="H90" s="1298"/>
      <c r="I90" s="1298"/>
      <c r="J90" s="470"/>
      <c r="K90" s="472"/>
      <c r="L90" s="1298"/>
      <c r="M90" s="471"/>
    </row>
    <row r="91" spans="1:14" x14ac:dyDescent="0.25">
      <c r="A91" s="199" t="s">
        <v>1874</v>
      </c>
      <c r="B91" s="1279"/>
      <c r="C91" s="232"/>
      <c r="D91" s="1515"/>
      <c r="E91" s="1515">
        <f>IF(ISERROR(('A1-Sum'!C10-'A1-Sum'!B10)/'A1-Sum'!B10),0,(('A1-Sum'!C10-'A1-Sum'!B10)/'A1-Sum'!B10))</f>
        <v>-0.21336917154046234</v>
      </c>
      <c r="F91" s="1528">
        <f>IF(ISERROR(('A1-Sum'!D10-'A1-Sum'!C10)/'A1-Sum'!C10),0,(('A1-Sum'!D10-'A1-Sum'!C10)/'A1-Sum'!C10))</f>
        <v>0.15373755845398235</v>
      </c>
      <c r="G91" s="1530">
        <f>IF(ISERROR(('A1-Sum'!E10-'A1-Sum'!D10)/'A1-Sum'!D10),0,(('A1-Sum'!E10-'A1-Sum'!D10)/'A1-Sum'!D10))</f>
        <v>-7.3727758587246367E-2</v>
      </c>
      <c r="H91" s="1515">
        <f>IF(ISERROR(('A1-Sum'!F10-'A1-Sum'!E10)/'A1-Sum'!E10),0,(('A1-Sum'!F10-'A1-Sum'!E10)/'A1-Sum'!E10))</f>
        <v>8.7954505244496731E-2</v>
      </c>
      <c r="I91" s="1515">
        <f>IF(ISERROR(('A1-Sum'!G10-'A1-Sum'!F10)/'A1-Sum'!F10),0,(('A1-Sum'!G10-'A1-Sum'!F10)/'A1-Sum'!F10))</f>
        <v>0</v>
      </c>
      <c r="J91" s="1528">
        <f>IF(ISERROR(('A1-Sum'!H10-'A1-Sum'!G10)/'A1-Sum'!G10),0,(('A1-Sum'!H10-'A1-Sum'!G10)/'A1-Sum'!G10))</f>
        <v>0</v>
      </c>
      <c r="K91" s="1530">
        <f>IF(ISERROR(('A1-Sum'!I10-'A1-Sum'!F10)/'A1-Sum'!F10),0,(('A1-Sum'!I10-'A1-Sum'!F10)/'A1-Sum'!F10))</f>
        <v>0.22998053251312192</v>
      </c>
      <c r="L91" s="1515">
        <f>IF(ISERROR(('A1-Sum'!J10-'A1-Sum'!I10)/'A1-Sum'!I10),0,(('A1-Sum'!J10-'A1-Sum'!I10)/'A1-Sum'!I10))</f>
        <v>6.8493344929377628E-2</v>
      </c>
      <c r="M91" s="1516">
        <f>IF(ISERROR(('A1-Sum'!K10-'A1-Sum'!J10)/'A1-Sum'!J10),0,(('A1-Sum'!K10-'A1-Sum'!J10)/'A1-Sum'!J10))</f>
        <v>6.386994478387481E-2</v>
      </c>
    </row>
    <row r="92" spans="1:14" x14ac:dyDescent="0.25">
      <c r="A92" s="199" t="s">
        <v>1875</v>
      </c>
      <c r="B92" s="1279"/>
      <c r="C92" s="232"/>
      <c r="D92" s="1515"/>
      <c r="E92" s="1515">
        <f>IF(ISERROR(('A4-FinPerf RE'!D5-'A4-FinPerf RE'!C5)/'A4-FinPerf RE'!C5),0,(('A4-FinPerf RE'!D5-'A4-FinPerf RE'!C5)/'A4-FinPerf RE'!C5))</f>
        <v>0.43337505121278946</v>
      </c>
      <c r="F92" s="1528">
        <f>IF(ISERROR(('A4-FinPerf RE'!E5-'A4-FinPerf RE'!D5)/'A4-FinPerf RE'!D5),0,(('A4-FinPerf RE'!E5-'A4-FinPerf RE'!D5)/'A4-FinPerf RE'!D5))</f>
        <v>-0.37043248880142965</v>
      </c>
      <c r="G92" s="1530">
        <f>IF(ISERROR(('A4-FinPerf RE'!F5-'A4-FinPerf RE'!E5)/'A4-FinPerf RE'!E5),0,(('A4-FinPerf RE'!F5-'A4-FinPerf RE'!E5)/'A4-FinPerf RE'!E5))</f>
        <v>0.48784408996296913</v>
      </c>
      <c r="H92" s="1515">
        <f>IF(ISERROR(('A4-FinPerf RE'!G5-'A4-FinPerf RE'!F5)/'A4-FinPerf RE'!F5),0,(('A4-FinPerf RE'!G5-'A4-FinPerf RE'!F5)/'A4-FinPerf RE'!F5))</f>
        <v>0.10962755449832674</v>
      </c>
      <c r="I92" s="1515">
        <f>IF(ISERROR(('A4-FinPerf RE'!H5-'A4-FinPerf RE'!G5)/'A4-FinPerf RE'!G5),0,(('A4-FinPerf RE'!H5-'A4-FinPerf RE'!G5)/'A4-FinPerf RE'!G5))</f>
        <v>0</v>
      </c>
      <c r="J92" s="1528">
        <f>IF(ISERROR(('A4-FinPerf RE'!I5-'A4-FinPerf RE'!H5)/'A4-FinPerf RE'!H5),0,(('A4-FinPerf RE'!I5-'A4-FinPerf RE'!H5)/'A4-FinPerf RE'!H5))</f>
        <v>0</v>
      </c>
      <c r="K92" s="1530">
        <f>IF(ISERROR(('A4-FinPerf RE'!J5-'A4-FinPerf RE'!G5)/'A4-FinPerf RE'!G5),0,(('A4-FinPerf RE'!J5-'A4-FinPerf RE'!G5)/'A4-FinPerf RE'!G5))</f>
        <v>0.43910151064280084</v>
      </c>
      <c r="L92" s="1515">
        <f>IF(ISERROR(('A4-FinPerf RE'!K5-'A4-FinPerf RE'!J5)/'A4-FinPerf RE'!J5),0,(('A4-FinPerf RE'!K5-'A4-FinPerf RE'!J5)/'A4-FinPerf RE'!J5))</f>
        <v>5.9999999999999984E-2</v>
      </c>
      <c r="M92" s="1516">
        <f>IF(ISERROR(('A4-FinPerf RE'!L5-'A4-FinPerf RE'!K5)/'A4-FinPerf RE'!K5),0,(('A4-FinPerf RE'!L5-'A4-FinPerf RE'!K5)/'A4-FinPerf RE'!K5))</f>
        <v>5.999999999999988E-2</v>
      </c>
    </row>
    <row r="93" spans="1:14" x14ac:dyDescent="0.25">
      <c r="A93" s="199" t="s">
        <v>1876</v>
      </c>
      <c r="B93" s="1279"/>
      <c r="C93" s="232"/>
      <c r="D93" s="1515"/>
      <c r="E93" s="1515">
        <f>IF(ISERROR(('A4-FinPerf RE'!D7-'A4-FinPerf RE'!C7)/'A4-FinPerf RE'!C7),0,(('A4-FinPerf RE'!D7-'A4-FinPerf RE'!C7)/'A4-FinPerf RE'!C7))</f>
        <v>0.17384120898635846</v>
      </c>
      <c r="F93" s="1528">
        <f>IF(ISERROR(('A4-FinPerf RE'!E7-'A4-FinPerf RE'!D7)/'A4-FinPerf RE'!D7),0,(('A4-FinPerf RE'!E7-'A4-FinPerf RE'!D7)/'A4-FinPerf RE'!D7))</f>
        <v>0.23783045255862834</v>
      </c>
      <c r="G93" s="1530">
        <f>IF(ISERROR(('A4-FinPerf RE'!F7-'A4-FinPerf RE'!E7)/'A4-FinPerf RE'!E7),0,(('A4-FinPerf RE'!F7-'A4-FinPerf RE'!E7)/'A4-FinPerf RE'!E7))</f>
        <v>-0.27152512588547767</v>
      </c>
      <c r="H93" s="1515">
        <f>IF(ISERROR(('A4-FinPerf RE'!G7-'A4-FinPerf RE'!F7)/'A4-FinPerf RE'!F7),0,(('A4-FinPerf RE'!G7-'A4-FinPerf RE'!F7)/'A4-FinPerf RE'!F7))</f>
        <v>0.30798381697763222</v>
      </c>
      <c r="I93" s="1515">
        <f>IF(ISERROR(('A4-FinPerf RE'!H7-'A4-FinPerf RE'!G7)/'A4-FinPerf RE'!G7),0,(('A4-FinPerf RE'!H7-'A4-FinPerf RE'!G7)/'A4-FinPerf RE'!G7))</f>
        <v>0</v>
      </c>
      <c r="J93" s="1528">
        <f>IF(ISERROR(('A4-FinPerf RE'!I7-'A4-FinPerf RE'!H7)/'A4-FinPerf RE'!H7),0,(('A4-FinPerf RE'!I7-'A4-FinPerf RE'!H7)/'A4-FinPerf RE'!H7))</f>
        <v>0</v>
      </c>
      <c r="K93" s="1530">
        <f>IF(ISERROR(('A4-FinPerf RE'!J7-'A4-FinPerf RE'!G7)/'A4-FinPerf RE'!G7),0,(('A4-FinPerf RE'!J7-'A4-FinPerf RE'!G7)/'A4-FinPerf RE'!G7))</f>
        <v>0.47098179631177944</v>
      </c>
      <c r="L93" s="1515">
        <f>IF(ISERROR(('A4-FinPerf RE'!K7-'A4-FinPerf RE'!J7)/'A4-FinPerf RE'!J7),0,(('A4-FinPerf RE'!K7-'A4-FinPerf RE'!J7)/'A4-FinPerf RE'!J7))</f>
        <v>6.0000000000000192E-2</v>
      </c>
      <c r="M93" s="1516">
        <f>IF(ISERROR(('A4-FinPerf RE'!L7-'A4-FinPerf RE'!K7)/'A4-FinPerf RE'!K7),0,(('A4-FinPerf RE'!L7-'A4-FinPerf RE'!K7)/'A4-FinPerf RE'!K7))</f>
        <v>5.9999999629233976E-2</v>
      </c>
    </row>
    <row r="94" spans="1:14" x14ac:dyDescent="0.25">
      <c r="A94" s="308" t="s">
        <v>1877</v>
      </c>
      <c r="B94" s="739"/>
      <c r="C94" s="309"/>
      <c r="D94" s="1296"/>
      <c r="E94" s="1296">
        <f>IF(ISERROR((('A1-Sum'!C5+'A1-Sum'!C6)-('A1-Sum'!B5+'A1-Sum'!B6))/('A1-Sum'!B5+'A1-Sum'!B6)),0,((('A1-Sum'!C5+'A1-Sum'!C6)-('A1-Sum'!B5+'A1-Sum'!B6))/('A1-Sum'!B5+'A1-Sum'!B6)))</f>
        <v>0.13306077661649329</v>
      </c>
      <c r="F94" s="1520">
        <f>IF(ISERROR((('A1-Sum'!D5+'A1-Sum'!D6)-('A1-Sum'!C5+'A1-Sum'!C6))/('A1-Sum'!C5+'A1-Sum'!C6)),0,((('A1-Sum'!D5+'A1-Sum'!D6)-('A1-Sum'!C5+'A1-Sum'!C6))/('A1-Sum'!C5+'A1-Sum'!C6)))</f>
        <v>8.0989928405871006E-2</v>
      </c>
      <c r="G94" s="1525">
        <f>IF(ISERROR((('A1-Sum'!E5+'A1-Sum'!E6)-('A1-Sum'!D5+'A1-Sum'!D6))/('A1-Sum'!D5+'A1-Sum'!D6)),0,((('A1-Sum'!E5+'A1-Sum'!E6)-('A1-Sum'!D5+'A1-Sum'!D6))/('A1-Sum'!D5+'A1-Sum'!D6)))</f>
        <v>-0.16143821989075091</v>
      </c>
      <c r="H94" s="1296">
        <f>IF(ISERROR((('A1-Sum'!F5+'A1-Sum'!F6)-('A1-Sum'!E5+'A1-Sum'!E6))/('A1-Sum'!E5+'A1-Sum'!E6)),0,((('A1-Sum'!F5+'A1-Sum'!F6)-('A1-Sum'!E5+'A1-Sum'!E6))/('A1-Sum'!E5+'A1-Sum'!E6)))</f>
        <v>0.22208376634748872</v>
      </c>
      <c r="I94" s="1296">
        <f>IF(ISERROR((('A1-Sum'!G5+'A1-Sum'!G6)-('A1-Sum'!F5+'A1-Sum'!F6))/('A1-Sum'!F5+'A1-Sum'!F6)),0,((('A1-Sum'!G5+'A1-Sum'!G6)-('A1-Sum'!F5+'A1-Sum'!F6))/('A1-Sum'!F5+'A1-Sum'!F6)))</f>
        <v>0</v>
      </c>
      <c r="J94" s="1520">
        <f>IF(ISERROR((('A1-Sum'!H5+'A1-Sum'!H6)-('A1-Sum'!G5+'A1-Sum'!G6))/('A1-Sum'!G5+'A1-Sum'!G6)),0,((('A1-Sum'!H5+'A1-Sum'!H6)-('A1-Sum'!G5+'A1-Sum'!G6))/('A1-Sum'!G5+'A1-Sum'!G6)))</f>
        <v>0</v>
      </c>
      <c r="K94" s="1525">
        <f>IF(ISERROR((('A1-Sum'!I5+'A1-Sum'!I6)-('A1-Sum'!F5+'A1-Sum'!F6))/('A1-Sum'!F5+'A1-Sum'!F6)),0,((('A1-Sum'!I5+'A1-Sum'!I6)-('A1-Sum'!F5+'A1-Sum'!F6))/('A1-Sum'!F5+'A1-Sum'!F6)))</f>
        <v>0.45891439123500632</v>
      </c>
      <c r="L94" s="1296">
        <f>IF(ISERROR((('A1-Sum'!J5+'A1-Sum'!J6)-('A1-Sum'!I5+'A1-Sum'!I6))/('A1-Sum'!I5+'A1-Sum'!I6)),0,((('A1-Sum'!J5+'A1-Sum'!J6)-('A1-Sum'!I5+'A1-Sum'!I6))/('A1-Sum'!I5+'A1-Sum'!I6)))</f>
        <v>6.0000000000000081E-2</v>
      </c>
      <c r="M94" s="1303">
        <f>IF(ISERROR((('A1-Sum'!K5+'A1-Sum'!K6)-('A1-Sum'!J5+'A1-Sum'!J6))/('A1-Sum'!J5+'A1-Sum'!J6)),0,((('A1-Sum'!K5+'A1-Sum'!K6)-('A1-Sum'!J5+'A1-Sum'!J6))/('A1-Sum'!J5+'A1-Sum'!J6)))</f>
        <v>5.9999999794843051E-2</v>
      </c>
    </row>
    <row r="95" spans="1:14" x14ac:dyDescent="0.25">
      <c r="A95" s="1277" t="s">
        <v>1878</v>
      </c>
      <c r="B95" s="1279"/>
      <c r="D95" s="279"/>
      <c r="E95" s="279"/>
      <c r="F95" s="1521"/>
      <c r="G95" s="1155"/>
      <c r="H95" s="781"/>
      <c r="I95" s="781"/>
      <c r="J95" s="1521"/>
      <c r="K95" s="1155"/>
      <c r="L95" s="781"/>
      <c r="M95" s="1295"/>
    </row>
    <row r="96" spans="1:14" x14ac:dyDescent="0.25">
      <c r="A96" s="199" t="s">
        <v>1879</v>
      </c>
      <c r="B96" s="1279"/>
      <c r="D96" s="1515"/>
      <c r="E96" s="1515">
        <f>IF(ISERROR(('A1-Sum'!C18-'A1-Sum'!B18)/'A1-Sum'!B18),0,(('A1-Sum'!C18-'A1-Sum'!B18)/'A1-Sum'!B18))</f>
        <v>0.14330834117797275</v>
      </c>
      <c r="F96" s="1528">
        <f>IF(ISERROR(('A1-Sum'!D18-'A1-Sum'!C18)/'A1-Sum'!C18),0,(('A1-Sum'!D18-'A1-Sum'!C18)/'A1-Sum'!C18))</f>
        <v>0.13076305535119009</v>
      </c>
      <c r="G96" s="1530">
        <f>IF(ISERROR(('A1-Sum'!E18-'A1-Sum'!D18)/'A1-Sum'!D18),0,(('A1-Sum'!E18-'A1-Sum'!D18)/'A1-Sum'!D18))</f>
        <v>4.3795905763060521E-2</v>
      </c>
      <c r="H96" s="1515">
        <f>IF(ISERROR(('A1-Sum'!F18-'A1-Sum'!E18)/'A1-Sum'!E18),0,(('A1-Sum'!F18-'A1-Sum'!E18)/'A1-Sum'!E18))</f>
        <v>0.18508809315543531</v>
      </c>
      <c r="I96" s="1515">
        <f>IF(ISERROR(('A1-Sum'!G18-'A1-Sum'!F18)/'A1-Sum'!F18),0,(('A1-Sum'!G18-'A1-Sum'!F18)/'A1-Sum'!F18))</f>
        <v>0</v>
      </c>
      <c r="J96" s="1528">
        <f>IF(ISERROR(('A1-Sum'!H18-'A1-Sum'!G18)/'A1-Sum'!G18),0,(('A1-Sum'!H18-'A1-Sum'!G18)/'A1-Sum'!G18))</f>
        <v>0</v>
      </c>
      <c r="K96" s="1530">
        <f>IF(ISERROR(('A1-Sum'!I18-'A1-Sum'!F18)/'A1-Sum'!F18),0,(('A1-Sum'!I18-'A1-Sum'!F18)/'A1-Sum'!F18))</f>
        <v>4.2179055766942239E-2</v>
      </c>
      <c r="L96" s="1515">
        <f>IF(ISERROR(('A1-Sum'!J18-'A1-Sum'!I18)/'A1-Sum'!I18),0,(('A1-Sum'!J18-'A1-Sum'!I18)/'A1-Sum'!I18))</f>
        <v>3.3081163741430532E-2</v>
      </c>
      <c r="M96" s="1516">
        <f>IF(ISERROR(('A1-Sum'!K18-'A1-Sum'!J18)/'A1-Sum'!J18),0,(('A1-Sum'!K18-'A1-Sum'!J18)/'A1-Sum'!J18))</f>
        <v>6.130522246240911E-2</v>
      </c>
    </row>
    <row r="97" spans="1:13" x14ac:dyDescent="0.25">
      <c r="A97" s="199" t="s">
        <v>1880</v>
      </c>
      <c r="B97" s="1279"/>
      <c r="D97" s="1515"/>
      <c r="E97" s="1515">
        <f>IF(ISERROR(('A1-Sum'!C11-'A1-Sum'!B11)/'A1-Sum'!B11),0,(('A1-Sum'!C11-'A1-Sum'!B11)/'A1-Sum'!B11))</f>
        <v>0.11726861966681436</v>
      </c>
      <c r="F97" s="1528">
        <f>IF(ISERROR(('A1-Sum'!D11-'A1-Sum'!C11)/'A1-Sum'!C11),0,(('A1-Sum'!D11-'A1-Sum'!C11)/'A1-Sum'!C11))</f>
        <v>0.30421733931656153</v>
      </c>
      <c r="G97" s="1530">
        <f>IF(ISERROR(('A1-Sum'!E11-'A1-Sum'!D11)/'A1-Sum'!D11),0,(('A1-Sum'!E11-'A1-Sum'!D11)/'A1-Sum'!D11))</f>
        <v>0.35105738922035268</v>
      </c>
      <c r="H97" s="1515">
        <f>IF(ISERROR(('A1-Sum'!F11-'A1-Sum'!E11)/'A1-Sum'!E11),0,(('A1-Sum'!F11-'A1-Sum'!E11)/'A1-Sum'!E11))</f>
        <v>5.0551389963901072E-2</v>
      </c>
      <c r="I97" s="1515">
        <f>IF(ISERROR(('A1-Sum'!G11-'A1-Sum'!F11)/'A1-Sum'!F11),0,(('A1-Sum'!G11-'A1-Sum'!F11)/'A1-Sum'!F11))</f>
        <v>0</v>
      </c>
      <c r="J97" s="1528">
        <f>IF(ISERROR(('A1-Sum'!H11-'A1-Sum'!G11)/'A1-Sum'!G11),0,(('A1-Sum'!H11-'A1-Sum'!G11)/'A1-Sum'!G11))</f>
        <v>0</v>
      </c>
      <c r="K97" s="1530">
        <f>IF(ISERROR(('A1-Sum'!I11-'A1-Sum'!F11)/'A1-Sum'!F11),0,(('A1-Sum'!I11-'A1-Sum'!F11)/'A1-Sum'!F11))</f>
        <v>0.16969291342807236</v>
      </c>
      <c r="L97" s="1515">
        <f>IF(ISERROR(('A1-Sum'!J11-'A1-Sum'!I11)/'A1-Sum'!I11),0,(('A1-Sum'!J11-'A1-Sum'!I11)/'A1-Sum'!I11))</f>
        <v>6.0000000000000102E-2</v>
      </c>
      <c r="M97" s="1516">
        <f>IF(ISERROR(('A1-Sum'!K11-'A1-Sum'!J11)/'A1-Sum'!J11),0,(('A1-Sum'!K11-'A1-Sum'!J11)/'A1-Sum'!J11))</f>
        <v>5.9999999999999845E-2</v>
      </c>
    </row>
    <row r="98" spans="1:13" x14ac:dyDescent="0.25">
      <c r="A98" s="199" t="s">
        <v>1881</v>
      </c>
      <c r="B98" s="1279"/>
      <c r="D98" s="1515"/>
      <c r="E98" s="1515">
        <f>IF(ISERROR(('SA1'!D82-'SA1'!C82)/'SA1'!C82),0,(('SA1'!D82-'SA1'!C82)/'SA1'!C82))</f>
        <v>0.41657253838097891</v>
      </c>
      <c r="F98" s="1528">
        <f>IF(ISERROR(('SA1'!E82-'SA1'!D82)/'SA1'!D82),0,(('SA1'!E82-'SA1'!D82)/'SA1'!D82))</f>
        <v>0.28075765135757935</v>
      </c>
      <c r="G98" s="1530">
        <f>IF(ISERROR(('SA1'!F82-'SA1'!E82)/'SA1'!E82),0,(('SA1'!F82-'SA1'!E82)/'SA1'!E82))</f>
        <v>0.12464694309967435</v>
      </c>
      <c r="H98" s="1515">
        <f>IF(ISERROR(('SA1'!G82-'SA1'!F82)/'SA1'!F82),0,(('SA1'!G82-'SA1'!F82)/'SA1'!F82))</f>
        <v>0.20730000000000001</v>
      </c>
      <c r="I98" s="1515">
        <f>IF(ISERROR(('SA1'!H82-'SA1'!G82)/'SA1'!G82),0,(('SA1'!H82-'SA1'!G82)/'SA1'!G82))</f>
        <v>0</v>
      </c>
      <c r="J98" s="1528">
        <f>IF(ISERROR(('SA1'!I82-'SA1'!H82)/'SA1'!H82),0,(('SA1'!I82-'SA1'!H82)/'SA1'!H82))</f>
        <v>0</v>
      </c>
      <c r="K98" s="1530">
        <f>IF(ISERROR(('SA1'!J82-'SA1'!G82)/'SA1'!G82),0,(('SA1'!J82-'SA1'!G82)/'SA1'!G82))</f>
        <v>-8.5355234821502521E-2</v>
      </c>
      <c r="L98" s="1515">
        <f>IF(ISERROR(('SA1'!K82-'SA1'!J82)/'SA1'!J82),0,(('SA1'!K82-'SA1'!J82)/'SA1'!J82))</f>
        <v>6.0000000000000081E-2</v>
      </c>
      <c r="M98" s="1516">
        <f>IF(ISERROR(('SA1'!L82-'SA1'!K82)/'SA1'!K82),0,(('SA1'!L82-'SA1'!K82)/'SA1'!K82))</f>
        <v>6.0000000000000032E-2</v>
      </c>
    </row>
    <row r="99" spans="1:13" x14ac:dyDescent="0.25">
      <c r="A99" s="199" t="s">
        <v>1967</v>
      </c>
      <c r="B99" s="1279"/>
      <c r="D99" s="279"/>
      <c r="E99" s="279"/>
      <c r="F99" s="473">
        <f>IF(ISERROR('A1-Sum'!D11/('SA24'!D36+'SA24'!E36-'SA24'!C5)),0,('A1-Sum'!D11/('SA24'!D36+'SA24'!E36-'SA24'!C5)))</f>
        <v>109745.63394904457</v>
      </c>
      <c r="G99" s="1532">
        <f>IF(ISERROR('A1-Sum'!E11/('SA24'!F36-'SA24'!F5)),0,('A1-Sum'!E11/('SA24'!F36-'SA24'!F5)))</f>
        <v>138564.32142857142</v>
      </c>
      <c r="H99" s="781"/>
      <c r="I99" s="781"/>
      <c r="J99" s="1521"/>
      <c r="K99" s="1532">
        <f>IF(ISERROR('A1-Sum'!I11/('SA24'!I36-'SA24'!I5)),0,('A1-Sum'!I11/('SA24'!I36-'SA24'!I5)))</f>
        <v>170270.95809023289</v>
      </c>
      <c r="L99" s="781"/>
      <c r="M99" s="1295"/>
    </row>
    <row r="100" spans="1:13" x14ac:dyDescent="0.25">
      <c r="A100" s="199" t="s">
        <v>1882</v>
      </c>
      <c r="B100" s="1279"/>
      <c r="D100" s="279"/>
      <c r="E100" s="279"/>
      <c r="F100" s="473">
        <f>IF(ISERROR('A1-Sum'!D12/'SA24'!C5),0,('A1-Sum'!D12/'SA24'!C5))</f>
        <v>219058.98375000001</v>
      </c>
      <c r="G100" s="1532">
        <f>IF(ISERROR('A1-Sum'!E12/'SA24'!F5),0,('A1-Sum'!E12/'SA24'!F5))</f>
        <v>231250</v>
      </c>
      <c r="H100" s="781"/>
      <c r="I100" s="781"/>
      <c r="J100" s="1521"/>
      <c r="K100" s="1532">
        <f>IF(ISERROR('A1-Sum'!I12/'SA24'!I5),0,('A1-Sum'!I12/'SA24'!I5))</f>
        <v>253807.87860000005</v>
      </c>
      <c r="L100" s="781"/>
      <c r="M100" s="1295"/>
    </row>
    <row r="101" spans="1:13" x14ac:dyDescent="0.25">
      <c r="A101" s="199" t="s">
        <v>1883</v>
      </c>
      <c r="B101" s="1280"/>
      <c r="D101" s="1515">
        <f>'A9-Asset'!C84</f>
        <v>1.0999999999999999E-2</v>
      </c>
      <c r="E101" s="1515">
        <f>'A9-Asset'!D84</f>
        <v>1.2999999999999999E-2</v>
      </c>
      <c r="F101" s="1528">
        <f>'A9-Asset'!E84</f>
        <v>1.7999999999999999E-2</v>
      </c>
      <c r="G101" s="1530">
        <f>'A9-Asset'!F84</f>
        <v>0</v>
      </c>
      <c r="H101" s="1515">
        <f>'A9-Asset'!G84</f>
        <v>4.5999999999999999E-2</v>
      </c>
      <c r="I101" s="1515">
        <f>'A9-Asset'!H84</f>
        <v>4.5999999999999999E-2</v>
      </c>
      <c r="J101" s="1528"/>
      <c r="K101" s="1530">
        <f>'A9-Asset'!I84</f>
        <v>3.9E-2</v>
      </c>
      <c r="L101" s="1515">
        <f>'A9-Asset'!J84</f>
        <v>3.9E-2</v>
      </c>
      <c r="M101" s="1516">
        <f>'A9-Asset'!K84</f>
        <v>3.9E-2</v>
      </c>
    </row>
    <row r="102" spans="1:13" x14ac:dyDescent="0.25">
      <c r="A102" s="199" t="s">
        <v>1884</v>
      </c>
      <c r="B102" s="1280"/>
      <c r="D102" s="1515">
        <f>'A9-Asset'!C85</f>
        <v>0.01</v>
      </c>
      <c r="E102" s="1515">
        <f>'A9-Asset'!D85</f>
        <v>0.01</v>
      </c>
      <c r="F102" s="1528">
        <f>'A9-Asset'!E85</f>
        <v>0.02</v>
      </c>
      <c r="G102" s="1530">
        <f>'A9-Asset'!F85</f>
        <v>0</v>
      </c>
      <c r="H102" s="1515">
        <f>'A9-Asset'!G85</f>
        <v>0.04</v>
      </c>
      <c r="I102" s="1515">
        <f>'A9-Asset'!H85</f>
        <v>0.04</v>
      </c>
      <c r="J102" s="1528"/>
      <c r="K102" s="1530">
        <f>'A9-Asset'!I85</f>
        <v>0.03</v>
      </c>
      <c r="L102" s="1515">
        <f>'A9-Asset'!J85</f>
        <v>0.03</v>
      </c>
      <c r="M102" s="1516">
        <f>'A9-Asset'!K85</f>
        <v>0.03</v>
      </c>
    </row>
    <row r="103" spans="1:13" x14ac:dyDescent="0.25">
      <c r="A103" s="308" t="s">
        <v>1981</v>
      </c>
      <c r="B103" s="1291"/>
      <c r="C103" s="309"/>
      <c r="D103" s="1296">
        <f>'SA10'!D11</f>
        <v>0</v>
      </c>
      <c r="E103" s="1296">
        <f>'SA10'!E11</f>
        <v>0.68253619681812672</v>
      </c>
      <c r="F103" s="1520">
        <f>'SA10'!F11</f>
        <v>0.16277177507842902</v>
      </c>
      <c r="G103" s="1525">
        <f>'SA10'!G11</f>
        <v>0.55710931110461404</v>
      </c>
      <c r="H103" s="1296">
        <f>'SA10'!H11</f>
        <v>0.45982820138497732</v>
      </c>
      <c r="I103" s="1296">
        <f>'SA10'!I11</f>
        <v>0.45982820138497732</v>
      </c>
      <c r="J103" s="1296">
        <f>'SA10'!J11</f>
        <v>0.45982820138497732</v>
      </c>
      <c r="K103" s="1525">
        <f>'SA10'!K11</f>
        <v>0.11250856305103472</v>
      </c>
      <c r="L103" s="1296">
        <f>'SA10'!L11</f>
        <v>0.11250856305103472</v>
      </c>
      <c r="M103" s="1303">
        <f>'SA10'!M11</f>
        <v>0.11250856307233063</v>
      </c>
    </row>
    <row r="104" spans="1:13" x14ac:dyDescent="0.25">
      <c r="A104" s="1277" t="s">
        <v>1885</v>
      </c>
      <c r="B104" s="1279"/>
      <c r="D104" s="279"/>
      <c r="E104" s="279"/>
      <c r="F104" s="1521"/>
      <c r="G104" s="1155"/>
      <c r="H104" s="781"/>
      <c r="I104" s="781"/>
      <c r="J104" s="1521"/>
      <c r="K104" s="1155"/>
      <c r="L104" s="781"/>
      <c r="M104" s="1295"/>
    </row>
    <row r="105" spans="1:13" x14ac:dyDescent="0.25">
      <c r="A105" s="199" t="s">
        <v>1886</v>
      </c>
      <c r="B105" s="502"/>
      <c r="D105" s="1519">
        <f>'A1-Sum'!B29+'A1-Sum'!B31</f>
        <v>10218625.98</v>
      </c>
      <c r="E105" s="301">
        <f>'A1-Sum'!C29+'A1-Sum'!C31</f>
        <v>2461655.1679414413</v>
      </c>
      <c r="F105" s="1522">
        <f>'A1-Sum'!D29+'A1-Sum'!D31</f>
        <v>2716499.83</v>
      </c>
      <c r="G105" s="1519">
        <f>'A1-Sum'!E29+'A1-Sum'!E31</f>
        <v>0</v>
      </c>
      <c r="H105" s="301">
        <f>'A1-Sum'!F29+'A1-Sum'!F31</f>
        <v>292000</v>
      </c>
      <c r="I105" s="301">
        <f>'A1-Sum'!G29+'A1-Sum'!G31</f>
        <v>292000</v>
      </c>
      <c r="J105" s="1522">
        <f>'A1-Sum'!H29+'A1-Sum'!H31</f>
        <v>292000</v>
      </c>
      <c r="K105" s="1519">
        <f>'A1-Sum'!I29+'A1-Sum'!I31</f>
        <v>1455000</v>
      </c>
      <c r="L105" s="301">
        <f>'A1-Sum'!J29+'A1-Sum'!J31</f>
        <v>2351300</v>
      </c>
      <c r="M105" s="1301">
        <f>'A1-Sum'!K29+'A1-Sum'!K31</f>
        <v>1634838</v>
      </c>
    </row>
    <row r="106" spans="1:13" x14ac:dyDescent="0.25">
      <c r="A106" s="199" t="s">
        <v>1887</v>
      </c>
      <c r="B106" s="502"/>
      <c r="D106" s="1519">
        <f>'A1-Sum'!B30</f>
        <v>0</v>
      </c>
      <c r="E106" s="301">
        <f>'A1-Sum'!C30</f>
        <v>177073.18025855755</v>
      </c>
      <c r="F106" s="1522">
        <f>'A1-Sum'!D30</f>
        <v>0</v>
      </c>
      <c r="G106" s="1519">
        <f>'A1-Sum'!E30</f>
        <v>0</v>
      </c>
      <c r="H106" s="301">
        <f>'A1-Sum'!F30</f>
        <v>0</v>
      </c>
      <c r="I106" s="301">
        <f>'A1-Sum'!G30</f>
        <v>0</v>
      </c>
      <c r="J106" s="1522">
        <f>'A1-Sum'!H30</f>
        <v>0</v>
      </c>
      <c r="K106" s="1519">
        <f>'A1-Sum'!I30</f>
        <v>0</v>
      </c>
      <c r="L106" s="301">
        <f>'A1-Sum'!J30</f>
        <v>0</v>
      </c>
      <c r="M106" s="1301">
        <f>'A1-Sum'!K30</f>
        <v>0</v>
      </c>
    </row>
    <row r="107" spans="1:13" x14ac:dyDescent="0.25">
      <c r="A107" s="199" t="s">
        <v>1888</v>
      </c>
      <c r="B107" s="502"/>
      <c r="D107" s="1519">
        <f>'A1-Sum'!B28</f>
        <v>6593235.0200000005</v>
      </c>
      <c r="E107" s="301">
        <f>'A1-Sum'!C28</f>
        <v>13065498.3018</v>
      </c>
      <c r="F107" s="1522">
        <f>'A1-Sum'!D28</f>
        <v>3430273</v>
      </c>
      <c r="G107" s="1519">
        <f>'A1-Sum'!E28</f>
        <v>9488000</v>
      </c>
      <c r="H107" s="301">
        <f>'A1-Sum'!F28</f>
        <v>9488000</v>
      </c>
      <c r="I107" s="301">
        <f>'A1-Sum'!G28</f>
        <v>9488000</v>
      </c>
      <c r="J107" s="1522">
        <f>'A1-Sum'!H28</f>
        <v>9488000</v>
      </c>
      <c r="K107" s="1519">
        <f>'A1-Sum'!I28</f>
        <v>11510000</v>
      </c>
      <c r="L107" s="301">
        <f>'A1-Sum'!J28</f>
        <v>12141000</v>
      </c>
      <c r="M107" s="1301">
        <f>'A1-Sum'!K28</f>
        <v>12843000</v>
      </c>
    </row>
    <row r="108" spans="1:13" x14ac:dyDescent="0.25">
      <c r="A108" s="199" t="s">
        <v>1889</v>
      </c>
      <c r="B108" s="1281"/>
      <c r="D108" s="1297">
        <f>IF(ISERROR(('A1-Sum'!B29+'A1-Sum'!B31)/('A1-Sum'!B32-'A1-Sum'!B28)),0,(('A1-Sum'!B29+'A1-Sum'!B31)/('A1-Sum'!B32-'A1-Sum'!B28)))</f>
        <v>1</v>
      </c>
      <c r="E108" s="1297">
        <f>IF(ISERROR(('A1-Sum'!C29+'A1-Sum'!C31)/('A1-Sum'!C32-'A1-Sum'!C28)),0,(('A1-Sum'!C29+'A1-Sum'!C31)/('A1-Sum'!C32-'A1-Sum'!C28)))</f>
        <v>0.9328945018613426</v>
      </c>
      <c r="F108" s="1523">
        <f>IF(ISERROR(('A1-Sum'!D29+'A1-Sum'!D31)/('A1-Sum'!D32-'A1-Sum'!D28)),0,(('A1-Sum'!D29+'A1-Sum'!D31)/('A1-Sum'!D32-'A1-Sum'!D28)))</f>
        <v>1</v>
      </c>
      <c r="G108" s="1526">
        <f>IF(ISERROR(('A1-Sum'!E29+'A1-Sum'!E31)/('A1-Sum'!E32-'A1-Sum'!E28)),0,(('A1-Sum'!E29+'A1-Sum'!E31)/('A1-Sum'!E32-'A1-Sum'!E28)))</f>
        <v>0</v>
      </c>
      <c r="H108" s="1297">
        <f>IF(ISERROR(('A1-Sum'!F29+'A1-Sum'!F31)/('A1-Sum'!F32-'A1-Sum'!F28)),0,(('A1-Sum'!F29+'A1-Sum'!F31)/('A1-Sum'!F32-'A1-Sum'!F28)))</f>
        <v>1</v>
      </c>
      <c r="I108" s="1297">
        <f>IF(ISERROR(('A1-Sum'!G29+'A1-Sum'!G31)/('A1-Sum'!G32-'A1-Sum'!G28)),0,(('A1-Sum'!G29+'A1-Sum'!G31)/('A1-Sum'!G32-'A1-Sum'!G28)))</f>
        <v>1</v>
      </c>
      <c r="J108" s="1523">
        <f>IF(ISERROR(('A1-Sum'!H29+'A1-Sum'!H31)/('A1-Sum'!H32-'A1-Sum'!H28)),0,(('A1-Sum'!H29+'A1-Sum'!H31)/('A1-Sum'!H32-'A1-Sum'!H28)))</f>
        <v>1</v>
      </c>
      <c r="K108" s="1526">
        <f>IF(ISERROR(('A1-Sum'!I29+'A1-Sum'!I31)/('A1-Sum'!I32-'A1-Sum'!I28)),0,(('A1-Sum'!I29+'A1-Sum'!I31)/('A1-Sum'!I32-'A1-Sum'!I28)))</f>
        <v>1</v>
      </c>
      <c r="L108" s="1297">
        <f>IF(ISERROR(('A1-Sum'!J29+'A1-Sum'!J31)/('A1-Sum'!J32-'A1-Sum'!J28)),0,(('A1-Sum'!J29+'A1-Sum'!J31)/('A1-Sum'!J32-'A1-Sum'!J28)))</f>
        <v>1</v>
      </c>
      <c r="M108" s="1304">
        <f>IF(ISERROR(('A1-Sum'!K29+'A1-Sum'!K31)/('A1-Sum'!K32-'A1-Sum'!K28)),0,(('A1-Sum'!K29+'A1-Sum'!K31)/('A1-Sum'!K32-'A1-Sum'!K28)))</f>
        <v>1</v>
      </c>
    </row>
    <row r="109" spans="1:13" x14ac:dyDescent="0.25">
      <c r="A109" s="199" t="s">
        <v>1890</v>
      </c>
      <c r="B109" s="1281"/>
      <c r="D109" s="1297">
        <f>IF(ISERROR('A1-Sum'!B30/('A1-Sum'!B32-'A1-Sum'!B28)),0,('A1-Sum'!B30/('A1-Sum'!B32-'A1-Sum'!B28)))</f>
        <v>0</v>
      </c>
      <c r="E109" s="1297">
        <f>IF(ISERROR('A1-Sum'!C30/('A1-Sum'!C32-'A1-Sum'!C28)),0,('A1-Sum'!C30/('A1-Sum'!C32-'A1-Sum'!C28)))</f>
        <v>6.7105498138657405E-2</v>
      </c>
      <c r="F109" s="1523">
        <f>IF(ISERROR('A1-Sum'!D30/('A1-Sum'!D32-'A1-Sum'!D28)),0,('A1-Sum'!D30/('A1-Sum'!D32-'A1-Sum'!D28)))</f>
        <v>0</v>
      </c>
      <c r="G109" s="1526">
        <f>IF(ISERROR('A1-Sum'!E30/('A1-Sum'!E32-'A1-Sum'!E28)),0,('A1-Sum'!E30/('A1-Sum'!E32-'A1-Sum'!E28)))</f>
        <v>0</v>
      </c>
      <c r="H109" s="1297">
        <f>IF(ISERROR('A1-Sum'!F30/('A1-Sum'!F32-'A1-Sum'!F28)),0,('A1-Sum'!F30/('A1-Sum'!F32-'A1-Sum'!F28)))</f>
        <v>0</v>
      </c>
      <c r="I109" s="1297">
        <f>IF(ISERROR('A1-Sum'!G30/('A1-Sum'!G32-'A1-Sum'!G28)),0,('A1-Sum'!G30/('A1-Sum'!G32-'A1-Sum'!G28)))</f>
        <v>0</v>
      </c>
      <c r="J109" s="1523">
        <f>IF(ISERROR('A1-Sum'!H30/('A1-Sum'!H32-'A1-Sum'!H28)),0,('A1-Sum'!H30/('A1-Sum'!H32-'A1-Sum'!H28)))</f>
        <v>0</v>
      </c>
      <c r="K109" s="1526">
        <f>IF(ISERROR('A1-Sum'!I30/('A1-Sum'!I32-'A1-Sum'!I28)),0,('A1-Sum'!I30/('A1-Sum'!I32-'A1-Sum'!I28)))</f>
        <v>0</v>
      </c>
      <c r="L109" s="1297">
        <f>IF(ISERROR('A1-Sum'!J30/('A1-Sum'!J32-'A1-Sum'!J28)),0,('A1-Sum'!J30/('A1-Sum'!J32-'A1-Sum'!J28)))</f>
        <v>0</v>
      </c>
      <c r="M109" s="1304">
        <f>IF(ISERROR('A1-Sum'!K30/('A1-Sum'!K32-'A1-Sum'!K28)),0,('A1-Sum'!K30/('A1-Sum'!K32-'A1-Sum'!K28)))</f>
        <v>0</v>
      </c>
    </row>
    <row r="110" spans="1:13" x14ac:dyDescent="0.25">
      <c r="A110" s="1289" t="s">
        <v>1891</v>
      </c>
      <c r="B110" s="1291"/>
      <c r="C110" s="309"/>
      <c r="D110" s="1517">
        <f>IF(ISERROR('A1-Sum'!B28/'A1-Sum'!B32),0,('A1-Sum'!B28/'A1-Sum'!B32))</f>
        <v>0.39217758343350567</v>
      </c>
      <c r="E110" s="1517">
        <f>IF(ISERROR('A1-Sum'!C28/'A1-Sum'!C32),0,('A1-Sum'!C28/'A1-Sum'!C32))</f>
        <v>0.83197336570534031</v>
      </c>
      <c r="F110" s="1524">
        <f>IF(ISERROR('A1-Sum'!D28/'A1-Sum'!D32),0,('A1-Sum'!D28/'A1-Sum'!D32))</f>
        <v>0.55806080603112185</v>
      </c>
      <c r="G110" s="1527">
        <f>IF(ISERROR('A1-Sum'!E28/'A1-Sum'!E32),0,('A1-Sum'!E28/'A1-Sum'!E32))</f>
        <v>1</v>
      </c>
      <c r="H110" s="1517">
        <f>IF(ISERROR('A1-Sum'!F28/'A1-Sum'!F32),0,('A1-Sum'!F28/'A1-Sum'!F32))</f>
        <v>0.9701431492842536</v>
      </c>
      <c r="I110" s="1517">
        <f>IF(ISERROR('A1-Sum'!G28/'A1-Sum'!G32),0,('A1-Sum'!G28/'A1-Sum'!G32))</f>
        <v>0.9701431492842536</v>
      </c>
      <c r="J110" s="1524">
        <f>IF(ISERROR('A1-Sum'!H28/'A1-Sum'!H32),0,('A1-Sum'!H28/'A1-Sum'!H32))</f>
        <v>0.9701431492842536</v>
      </c>
      <c r="K110" s="1527">
        <f>IF(ISERROR('A1-Sum'!I28/'A1-Sum'!I32),0,('A1-Sum'!I28/'A1-Sum'!I32))</f>
        <v>0.88777477824913231</v>
      </c>
      <c r="L110" s="1517">
        <f>IF(ISERROR('A1-Sum'!J28/'A1-Sum'!J32),0,('A1-Sum'!J28/'A1-Sum'!J32))</f>
        <v>0.83775522173844041</v>
      </c>
      <c r="M110" s="1518">
        <f>IF(ISERROR('A1-Sum'!K28/'A1-Sum'!K32),0,('A1-Sum'!K28/'A1-Sum'!K32))</f>
        <v>0.88707996318234805</v>
      </c>
    </row>
    <row r="111" spans="1:13" x14ac:dyDescent="0.25">
      <c r="A111" s="1277" t="s">
        <v>1892</v>
      </c>
      <c r="B111" s="1279"/>
      <c r="D111" s="279"/>
      <c r="E111" s="279"/>
      <c r="F111" s="1521"/>
      <c r="G111" s="1155"/>
      <c r="H111" s="781"/>
      <c r="I111" s="781"/>
      <c r="J111" s="1521"/>
      <c r="K111" s="1155"/>
      <c r="L111" s="781"/>
      <c r="M111" s="1295"/>
    </row>
    <row r="112" spans="1:13" x14ac:dyDescent="0.25">
      <c r="A112" s="241" t="s">
        <v>1893</v>
      </c>
      <c r="B112" s="502"/>
      <c r="D112" s="1519">
        <f>'A1-Sum'!B27</f>
        <v>16811861</v>
      </c>
      <c r="E112" s="301">
        <f>'A1-Sum'!C27</f>
        <v>15704226.649999999</v>
      </c>
      <c r="F112" s="1522">
        <f>'A1-Sum'!D27</f>
        <v>6146772.8300000001</v>
      </c>
      <c r="G112" s="1519">
        <f>'A1-Sum'!E27</f>
        <v>9488000</v>
      </c>
      <c r="H112" s="301">
        <f>'A1-Sum'!F27</f>
        <v>9780000</v>
      </c>
      <c r="I112" s="301">
        <f>'A1-Sum'!G27</f>
        <v>9780000</v>
      </c>
      <c r="J112" s="1522">
        <f>'A1-Sum'!H27</f>
        <v>9780000</v>
      </c>
      <c r="K112" s="1519">
        <f>'A1-Sum'!I27</f>
        <v>12965000</v>
      </c>
      <c r="L112" s="301">
        <f>'A1-Sum'!J27</f>
        <v>14492300</v>
      </c>
      <c r="M112" s="1301">
        <f>'A1-Sum'!K27</f>
        <v>14477838</v>
      </c>
    </row>
    <row r="113" spans="1:13" x14ac:dyDescent="0.25">
      <c r="A113" s="241" t="s">
        <v>1894</v>
      </c>
      <c r="B113" s="502"/>
      <c r="D113" s="1519">
        <f>'A1-Sum'!B55</f>
        <v>0</v>
      </c>
      <c r="E113" s="301">
        <f>'A1-Sum'!C55</f>
        <v>0</v>
      </c>
      <c r="F113" s="1522">
        <f>'A1-Sum'!D55</f>
        <v>0</v>
      </c>
      <c r="G113" s="1519">
        <f>'A1-Sum'!E55</f>
        <v>0</v>
      </c>
      <c r="H113" s="301">
        <f>'A1-Sum'!F55</f>
        <v>0</v>
      </c>
      <c r="I113" s="301">
        <f>'A1-Sum'!G55</f>
        <v>0</v>
      </c>
      <c r="J113" s="1522">
        <f>'A1-Sum'!H55</f>
        <v>0</v>
      </c>
      <c r="K113" s="1519">
        <f>'A1-Sum'!I55</f>
        <v>0</v>
      </c>
      <c r="L113" s="301">
        <f>'A1-Sum'!J55</f>
        <v>0</v>
      </c>
      <c r="M113" s="1301">
        <f>'A1-Sum'!K55</f>
        <v>0</v>
      </c>
    </row>
    <row r="114" spans="1:13" x14ac:dyDescent="0.25">
      <c r="A114" s="1289" t="s">
        <v>1895</v>
      </c>
      <c r="B114" s="1291"/>
      <c r="C114" s="309"/>
      <c r="D114" s="1296">
        <f>IF(ISERROR('A1-Sum'!B55/'A1-Sum'!B32),0,('A1-Sum'!B55/'A1-Sum'!B32))</f>
        <v>0</v>
      </c>
      <c r="E114" s="1296">
        <f>IF(ISERROR('A1-Sum'!C55/'A1-Sum'!C32),0,('A1-Sum'!C55/'A1-Sum'!C32))</f>
        <v>0</v>
      </c>
      <c r="F114" s="1296">
        <f>IF(ISERROR('A1-Sum'!D55/'A1-Sum'!D32),0,('A1-Sum'!D55/'A1-Sum'!D32))</f>
        <v>0</v>
      </c>
      <c r="G114" s="1296">
        <f>IF(ISERROR('A1-Sum'!E55/'A1-Sum'!E32),0,('A1-Sum'!E55/'A1-Sum'!E32))</f>
        <v>0</v>
      </c>
      <c r="H114" s="1296">
        <f>IF(ISERROR('A1-Sum'!F55/'A1-Sum'!F32),0,('A1-Sum'!F55/'A1-Sum'!F32))</f>
        <v>0</v>
      </c>
      <c r="I114" s="1296">
        <f>IF(ISERROR('A1-Sum'!G55/'A1-Sum'!G32),0,('A1-Sum'!G55/'A1-Sum'!G32))</f>
        <v>0</v>
      </c>
      <c r="J114" s="1296">
        <f>IF(ISERROR('A1-Sum'!H55/'A1-Sum'!H32),0,('A1-Sum'!H55/'A1-Sum'!H32))</f>
        <v>0</v>
      </c>
      <c r="K114" s="1296">
        <f>IF(ISERROR('A1-Sum'!I55/'A1-Sum'!I32),0,('A1-Sum'!I55/'A1-Sum'!I32))</f>
        <v>0</v>
      </c>
      <c r="L114" s="1296">
        <f>IF(ISERROR('A1-Sum'!J55/'A1-Sum'!J32),0,('A1-Sum'!J55/'A1-Sum'!J32))</f>
        <v>0</v>
      </c>
      <c r="M114" s="1296">
        <f>IF(ISERROR('A1-Sum'!K55/'A1-Sum'!K32),0,('A1-Sum'!K55/'A1-Sum'!K32))</f>
        <v>0</v>
      </c>
    </row>
    <row r="115" spans="1:13" x14ac:dyDescent="0.25">
      <c r="A115" s="1277" t="s">
        <v>702</v>
      </c>
      <c r="B115" s="1279"/>
      <c r="D115" s="279"/>
      <c r="E115" s="279"/>
      <c r="F115" s="1521"/>
      <c r="G115" s="1155"/>
      <c r="H115" s="781"/>
      <c r="I115" s="781"/>
      <c r="J115" s="1521"/>
      <c r="K115" s="1155"/>
      <c r="L115" s="781"/>
      <c r="M115" s="1295"/>
    </row>
    <row r="116" spans="1:13" x14ac:dyDescent="0.25">
      <c r="A116" s="241" t="s">
        <v>1896</v>
      </c>
      <c r="B116" s="1281"/>
      <c r="D116" s="1297">
        <f>'SA10'!D10</f>
        <v>1.7106700613500503</v>
      </c>
      <c r="E116" s="1297">
        <f>'SA10'!E10</f>
        <v>0.72548356396748914</v>
      </c>
      <c r="F116" s="1523">
        <f>'SA10'!F10</f>
        <v>0.96548912717845858</v>
      </c>
      <c r="G116" s="1526">
        <f>'SA10'!G10</f>
        <v>0.5834104800771811</v>
      </c>
      <c r="H116" s="1297">
        <f>'SA10'!H10</f>
        <v>0.78747057389211195</v>
      </c>
      <c r="I116" s="1297">
        <f>'SA10'!I10</f>
        <v>0.78747057389211195</v>
      </c>
      <c r="J116" s="1523">
        <f>'SA10'!J10</f>
        <v>0.78747057389211195</v>
      </c>
      <c r="K116" s="1526">
        <f>'SA10'!K10</f>
        <v>0.89966902977074503</v>
      </c>
      <c r="L116" s="1297">
        <f>'SA10'!L10</f>
        <v>0.89746010081268601</v>
      </c>
      <c r="M116" s="1304">
        <f>'SA10'!M10</f>
        <v>0.89136052666143684</v>
      </c>
    </row>
    <row r="117" spans="1:13" x14ac:dyDescent="0.25">
      <c r="A117" s="1289" t="s">
        <v>1897</v>
      </c>
      <c r="B117" s="1292"/>
      <c r="C117" s="309"/>
      <c r="D117" s="1299">
        <f>'SA10'!D7</f>
        <v>-0.44844639467950848</v>
      </c>
      <c r="E117" s="1299">
        <f>'SA10'!E7</f>
        <v>1.1738292438708269</v>
      </c>
      <c r="F117" s="1529">
        <f>'SA10'!F7</f>
        <v>0.81422718214327694</v>
      </c>
      <c r="G117" s="1531">
        <f>'SA10'!G7</f>
        <v>3.7994189089362709</v>
      </c>
      <c r="H117" s="1299">
        <f>'SA10'!H7</f>
        <v>-2.7693153446713712</v>
      </c>
      <c r="I117" s="1299">
        <f>'SA10'!I7</f>
        <v>-2.7693153446713712</v>
      </c>
      <c r="J117" s="1529">
        <f>'SA10'!J7</f>
        <v>-2.7693153446713712</v>
      </c>
      <c r="K117" s="1531">
        <f>'SA10'!K7</f>
        <v>-4.4752929522088012</v>
      </c>
      <c r="L117" s="1299">
        <f>'SA10'!L7</f>
        <v>-5.754242772285278</v>
      </c>
      <c r="M117" s="1305">
        <f>'SA10'!M7</f>
        <v>-6.7874719085157649</v>
      </c>
    </row>
    <row r="118" spans="1:13" x14ac:dyDescent="0.25">
      <c r="A118" s="1277" t="s">
        <v>1288</v>
      </c>
      <c r="B118" s="1279"/>
      <c r="D118" s="279"/>
      <c r="E118" s="279"/>
      <c r="F118" s="1521"/>
      <c r="G118" s="1155"/>
      <c r="H118" s="781"/>
      <c r="I118" s="781"/>
      <c r="J118" s="1521"/>
      <c r="K118" s="1155"/>
      <c r="L118" s="781"/>
      <c r="M118" s="1295"/>
    </row>
    <row r="119" spans="1:13" ht="5.0999999999999996" customHeight="1" x14ac:dyDescent="0.25">
      <c r="A119" s="1278"/>
      <c r="B119" s="1281"/>
      <c r="D119" s="1515"/>
      <c r="E119" s="1515"/>
      <c r="F119" s="1528"/>
      <c r="G119" s="1530"/>
      <c r="H119" s="1515"/>
      <c r="I119" s="1515"/>
      <c r="J119" s="1528"/>
      <c r="K119" s="1530"/>
      <c r="L119" s="1515"/>
      <c r="M119" s="1516"/>
    </row>
    <row r="120" spans="1:13" x14ac:dyDescent="0.25">
      <c r="A120" s="1278" t="s">
        <v>1898</v>
      </c>
      <c r="B120" s="1279"/>
      <c r="D120" s="1302"/>
      <c r="E120" s="279"/>
      <c r="F120" s="1521"/>
      <c r="G120" s="1155"/>
      <c r="H120" s="781"/>
      <c r="I120" s="781"/>
      <c r="J120" s="1521"/>
      <c r="K120" s="1532">
        <f>'SA8'!F6</f>
        <v>0</v>
      </c>
      <c r="L120" s="781"/>
      <c r="M120" s="1295"/>
    </row>
    <row r="121" spans="1:13" x14ac:dyDescent="0.25">
      <c r="A121" s="1278" t="s">
        <v>1899</v>
      </c>
      <c r="B121" s="1281"/>
      <c r="D121" s="1515">
        <f>'SA8'!C7</f>
        <v>1.9688521803794521E-2</v>
      </c>
      <c r="E121" s="1515">
        <f>'SA8'!D7</f>
        <v>1.835392211777272E-2</v>
      </c>
      <c r="F121" s="1528">
        <f>'SA8'!E7</f>
        <v>1.6760874941015552E-2</v>
      </c>
      <c r="G121" s="1530">
        <f>'SA8'!F7</f>
        <v>3.3518162888448229E-2</v>
      </c>
      <c r="H121" s="1515">
        <f>'SA8'!G7</f>
        <v>8.8264316946077941E-3</v>
      </c>
      <c r="I121" s="1515">
        <f>'SA8'!H7</f>
        <v>8.8264316946077941E-3</v>
      </c>
      <c r="J121" s="1528">
        <f>'SA8'!I7</f>
        <v>8.8264316946077941E-3</v>
      </c>
      <c r="K121" s="1530">
        <f>'SA8'!J7</f>
        <v>1.026526739022934E-2</v>
      </c>
      <c r="L121" s="1515">
        <f>'SA8'!K7</f>
        <v>1.0068325908883704E-2</v>
      </c>
      <c r="M121" s="1516">
        <f>'SA8'!L7</f>
        <v>9.8747203810102824E-3</v>
      </c>
    </row>
    <row r="122" spans="1:13" x14ac:dyDescent="0.25">
      <c r="A122" s="1293" t="s">
        <v>1900</v>
      </c>
      <c r="B122" s="1291"/>
      <c r="C122" s="309"/>
      <c r="D122" s="1296">
        <f>'SA10'!D13</f>
        <v>0</v>
      </c>
      <c r="E122" s="1296">
        <f>'SA10'!E13</f>
        <v>6.7105498040671646E-2</v>
      </c>
      <c r="F122" s="1520">
        <f>'SA10'!F13</f>
        <v>0</v>
      </c>
      <c r="G122" s="1525">
        <f>'SA10'!G13</f>
        <v>0</v>
      </c>
      <c r="H122" s="1296">
        <f>'SA10'!H13</f>
        <v>0</v>
      </c>
      <c r="I122" s="1296">
        <f>'SA10'!I13</f>
        <v>0</v>
      </c>
      <c r="J122" s="1520">
        <f>'SA10'!J13</f>
        <v>0</v>
      </c>
      <c r="K122" s="1525">
        <f>'SA10'!K13</f>
        <v>0</v>
      </c>
      <c r="L122" s="1296">
        <f>'SA10'!L13</f>
        <v>0</v>
      </c>
      <c r="M122" s="1303">
        <f>'SA10'!M13</f>
        <v>0</v>
      </c>
    </row>
    <row r="123" spans="1:13" x14ac:dyDescent="0.25">
      <c r="A123" s="1277" t="s">
        <v>753</v>
      </c>
      <c r="B123" s="1279"/>
      <c r="D123" s="279"/>
      <c r="E123" s="279"/>
      <c r="F123" s="1521"/>
      <c r="G123" s="1155"/>
      <c r="H123" s="781"/>
      <c r="I123" s="781"/>
      <c r="J123" s="1521"/>
      <c r="K123" s="1155"/>
      <c r="L123" s="781"/>
      <c r="M123" s="471"/>
    </row>
    <row r="124" spans="1:13" x14ac:dyDescent="0.25">
      <c r="A124" s="1289" t="s">
        <v>1725</v>
      </c>
      <c r="B124" s="1294"/>
      <c r="C124" s="309"/>
      <c r="D124" s="1299">
        <f>'A8-ResRecon'!C19</f>
        <v>20008023.290000003</v>
      </c>
      <c r="E124" s="1299">
        <f>'A8-ResRecon'!D19</f>
        <v>-470503.65000000037</v>
      </c>
      <c r="F124" s="1529">
        <f>'A8-ResRecon'!E19</f>
        <v>-4514176.6500000004</v>
      </c>
      <c r="G124" s="1531">
        <f>'A8-ResRecon'!F19</f>
        <v>9725401.5830000043</v>
      </c>
      <c r="H124" s="1299">
        <f>'A8-ResRecon'!G19</f>
        <v>-24583998.227809601</v>
      </c>
      <c r="I124" s="1299">
        <f>'A8-ResRecon'!H19</f>
        <v>-24583998.227809627</v>
      </c>
      <c r="J124" s="1529">
        <f>'A8-ResRecon'!I19</f>
        <v>-24583998.227809627</v>
      </c>
      <c r="K124" s="1531">
        <f>'A8-ResRecon'!J19</f>
        <v>-34885935.4632622</v>
      </c>
      <c r="L124" s="1299">
        <f>'A8-ResRecon'!K19</f>
        <v>-43940064.35539715</v>
      </c>
      <c r="M124" s="1305">
        <f>'A8-ResRecon'!L19</f>
        <v>-52529813.696538493</v>
      </c>
    </row>
    <row r="125" spans="1:13" x14ac:dyDescent="0.25">
      <c r="A125" s="1277" t="s">
        <v>1901</v>
      </c>
      <c r="B125" s="1279"/>
      <c r="D125" s="279"/>
      <c r="E125" s="279"/>
      <c r="F125" s="1521"/>
      <c r="G125" s="1155"/>
      <c r="H125" s="781"/>
      <c r="I125" s="781"/>
      <c r="J125" s="471"/>
      <c r="K125" s="1302"/>
      <c r="L125" s="781"/>
      <c r="M125" s="1295"/>
    </row>
    <row r="126" spans="1:13" x14ac:dyDescent="0.25">
      <c r="A126" s="241" t="s">
        <v>1902</v>
      </c>
      <c r="B126" s="1282"/>
      <c r="D126" s="1515">
        <f>IF(ISERROR('A10-SerDel'!C59/'SA18'!C8),0,('A10-SerDel'!C59/'SA18'!C8))</f>
        <v>0.46526276692792096</v>
      </c>
      <c r="E126" s="1515">
        <f>IF(ISERROR('A10-SerDel'!D59/'SA18'!D8),0,('A10-SerDel'!D59/'SA18'!D8))</f>
        <v>0.37483488573093149</v>
      </c>
      <c r="F126" s="1528">
        <f>IF(ISERROR('A10-SerDel'!E59/'SA18'!E8),0,('A10-SerDel'!E59/'SA18'!E8))</f>
        <v>0.29749375212719403</v>
      </c>
      <c r="G126" s="1530">
        <f>IF(ISERROR('A10-SerDel'!F59/'SA18'!F8),0,('A10-SerDel'!F59/'SA18'!F8))</f>
        <v>0</v>
      </c>
      <c r="H126" s="1515">
        <f>IF(ISERROR('A10-SerDel'!G59/'SA18'!G8),0,('A10-SerDel'!G59/'SA18'!G8))</f>
        <v>0.26512968497887052</v>
      </c>
      <c r="I126" s="1515">
        <f>IF(ISERROR('A10-SerDel'!H59/'SA18'!H8),0,('A10-SerDel'!H59/'SA18'!H8))</f>
        <v>0.26512968497887052</v>
      </c>
      <c r="J126" s="1516"/>
      <c r="K126" s="1533">
        <f>IF(ISERROR('A10-SerDel'!I59/'SA18'!I8),0,('A10-SerDel'!I59/'SA18'!I8))</f>
        <v>0.22839831460039536</v>
      </c>
      <c r="L126" s="1515">
        <f>IF(ISERROR('A10-SerDel'!J59/'SA18'!J8),0,('A10-SerDel'!J59/'SA18'!J8))</f>
        <v>0.21799196868475992</v>
      </c>
      <c r="M126" s="1516">
        <f>IF(ISERROR('A10-SerDel'!K59/'SA18'!K8),0,('A10-SerDel'!K59/'SA18'!K8))</f>
        <v>0.194451214213296</v>
      </c>
    </row>
    <row r="127" spans="1:13" ht="25.5" x14ac:dyDescent="0.25">
      <c r="A127" s="1283" t="s">
        <v>1903</v>
      </c>
      <c r="B127" s="1281"/>
      <c r="D127" s="1515">
        <f>IF(ISERROR('A10-SerDel'!C78/('A1-Sum'!B10-'A1-Sum'!B8)),0,('A10-SerDel'!C78/('A1-Sum'!B10-'A1-Sum'!B8)))</f>
        <v>0.11846481676828458</v>
      </c>
      <c r="E127" s="1515">
        <f>IF(ISERROR('A10-SerDel'!D78/('A1-Sum'!C10-'A1-Sum'!C8)),0,('A10-SerDel'!D78/('A1-Sum'!C10-'A1-Sum'!C8)))</f>
        <v>0.16380905181982969</v>
      </c>
      <c r="F127" s="1516">
        <f>IF(ISERROR('A10-SerDel'!E78/('A1-Sum'!D10-'A1-Sum'!D8)),0,('A10-SerDel'!E78/('A1-Sum'!D10-'A1-Sum'!D8)))</f>
        <v>0.12974144475514321</v>
      </c>
      <c r="G127" s="1533">
        <f>IF(ISERROR('A10-SerDel'!F78/('A1-Sum'!E10-'A1-Sum'!E8)),0,('A10-SerDel'!F78/('A1-Sum'!E10-'A1-Sum'!E8)))</f>
        <v>0</v>
      </c>
      <c r="H127" s="1515">
        <f>IF(ISERROR('A10-SerDel'!G78/('A1-Sum'!F10-'A1-Sum'!F8)),0,('A10-SerDel'!G78/('A1-Sum'!F10-'A1-Sum'!F8)))</f>
        <v>0.12576622608085342</v>
      </c>
      <c r="I127" s="1515">
        <f>IF(ISERROR('A10-SerDel'!H78/('A1-Sum'!G10-'A1-Sum'!G8)),0,('A10-SerDel'!H78/('A1-Sum'!G10-'A1-Sum'!G8)))</f>
        <v>0.12449273209534477</v>
      </c>
      <c r="J127" s="1516"/>
      <c r="K127" s="1533">
        <f>IF(ISERROR('A10-SerDel'!I78/('A1-Sum'!I10-'A1-Sum'!I8)),0,('A10-SerDel'!I78/('A1-Sum'!I10-'A1-Sum'!I8)))</f>
        <v>9.223458567411813E-2</v>
      </c>
      <c r="L127" s="1515">
        <f>IF(ISERROR('A10-SerDel'!J78/('A1-Sum'!J10-'A1-Sum'!J8)),0,('A10-SerDel'!J78/('A1-Sum'!J10-'A1-Sum'!J8)))</f>
        <v>9.1200579821677896E-2</v>
      </c>
      <c r="M127" s="1515">
        <f>IF(ISERROR('A10-SerDel'!K78/('A1-Sum'!K10-'A1-Sum'!K8)),0,('A10-SerDel'!K78/('A1-Sum'!K10-'A1-Sum'!K8)))</f>
        <v>8.4046067547173253E-2</v>
      </c>
    </row>
    <row r="128" spans="1:13" ht="5.25" customHeight="1" x14ac:dyDescent="0.25">
      <c r="A128" s="1283"/>
      <c r="B128" s="1281"/>
      <c r="D128" s="1533"/>
      <c r="E128" s="1515"/>
      <c r="F128" s="1303"/>
      <c r="G128" s="1533"/>
      <c r="H128" s="1515"/>
      <c r="I128" s="1515"/>
      <c r="J128" s="1516"/>
      <c r="K128" s="1533"/>
      <c r="L128" s="1515"/>
      <c r="M128" s="1516"/>
    </row>
    <row r="129" spans="1:13" ht="18" customHeight="1" x14ac:dyDescent="0.25">
      <c r="A129" s="1534" t="s">
        <v>1947</v>
      </c>
      <c r="B129" s="1537"/>
      <c r="C129" s="1538"/>
      <c r="D129" s="1539"/>
      <c r="E129" s="1540"/>
      <c r="F129" s="1541"/>
      <c r="G129" s="1542"/>
      <c r="H129" s="1543"/>
      <c r="I129" s="1543"/>
      <c r="J129" s="1541"/>
      <c r="K129" s="1542"/>
      <c r="L129" s="1543"/>
      <c r="M129" s="1541"/>
    </row>
    <row r="130" spans="1:13" ht="13.5" x14ac:dyDescent="0.25">
      <c r="A130" s="1535" t="s">
        <v>1870</v>
      </c>
      <c r="B130" s="1544"/>
      <c r="C130" s="1545"/>
      <c r="D130" s="1546">
        <f>D86</f>
        <v>63290072.241141275</v>
      </c>
      <c r="E130" s="1546">
        <f t="shared" ref="E130:M130" si="10">E86</f>
        <v>49785921.960312948</v>
      </c>
      <c r="F130" s="1555">
        <f t="shared" si="10"/>
        <v>57439888.047871962</v>
      </c>
      <c r="G130" s="1546">
        <f t="shared" si="10"/>
        <v>53204973.8486</v>
      </c>
      <c r="H130" s="1546">
        <f t="shared" si="10"/>
        <v>57884591</v>
      </c>
      <c r="I130" s="1546">
        <f t="shared" si="10"/>
        <v>57884591</v>
      </c>
      <c r="J130" s="1555">
        <f>J86</f>
        <v>57884591</v>
      </c>
      <c r="K130" s="1546">
        <f t="shared" si="10"/>
        <v>71196920.062484264</v>
      </c>
      <c r="L130" s="1546">
        <f t="shared" si="10"/>
        <v>76073435.266233325</v>
      </c>
      <c r="M130" s="1555">
        <f t="shared" si="10"/>
        <v>80932241.376207322</v>
      </c>
    </row>
    <row r="131" spans="1:13" ht="13.5" x14ac:dyDescent="0.25">
      <c r="A131" s="1535" t="s">
        <v>1871</v>
      </c>
      <c r="B131" s="1544"/>
      <c r="C131" s="1545"/>
      <c r="D131" s="1546">
        <f t="shared" ref="D131:M132" si="11">D87</f>
        <v>51779292.4865738</v>
      </c>
      <c r="E131" s="1546">
        <f t="shared" si="11"/>
        <v>59199697.00019376</v>
      </c>
      <c r="F131" s="1555">
        <f t="shared" si="11"/>
        <v>66940830.255803779</v>
      </c>
      <c r="G131" s="1546">
        <f t="shared" si="11"/>
        <v>69872564.549387991</v>
      </c>
      <c r="H131" s="1546">
        <f t="shared" si="11"/>
        <v>82805144.285714284</v>
      </c>
      <c r="I131" s="1546">
        <f t="shared" si="11"/>
        <v>82805144.285714284</v>
      </c>
      <c r="J131" s="1555">
        <f t="shared" si="11"/>
        <v>82805144.285714284</v>
      </c>
      <c r="K131" s="1546">
        <f t="shared" si="11"/>
        <v>86297787.084331125</v>
      </c>
      <c r="L131" s="1546">
        <f t="shared" si="11"/>
        <v>89152618.309390992</v>
      </c>
      <c r="M131" s="1555">
        <f t="shared" si="11"/>
        <v>94618139.407954454</v>
      </c>
    </row>
    <row r="132" spans="1:13" ht="13.5" x14ac:dyDescent="0.25">
      <c r="A132" s="1535" t="s">
        <v>1948</v>
      </c>
      <c r="B132" s="1544"/>
      <c r="C132" s="1545"/>
      <c r="D132" s="1546">
        <f t="shared" si="11"/>
        <v>11510779.754567474</v>
      </c>
      <c r="E132" s="1546">
        <f t="shared" si="11"/>
        <v>-9413775.0398808122</v>
      </c>
      <c r="F132" s="1555">
        <f t="shared" si="11"/>
        <v>-9500942.2079318166</v>
      </c>
      <c r="G132" s="1546">
        <f t="shared" si="11"/>
        <v>-16667590.700787991</v>
      </c>
      <c r="H132" s="1546">
        <f t="shared" si="11"/>
        <v>-24920553.285714284</v>
      </c>
      <c r="I132" s="1546">
        <f t="shared" si="11"/>
        <v>-24920553.285714284</v>
      </c>
      <c r="J132" s="1555">
        <f t="shared" si="11"/>
        <v>-24920553.285714284</v>
      </c>
      <c r="K132" s="1546">
        <f t="shared" si="11"/>
        <v>-15100867.021846861</v>
      </c>
      <c r="L132" s="1546">
        <f t="shared" si="11"/>
        <v>-13079183.043157667</v>
      </c>
      <c r="M132" s="1555">
        <f t="shared" si="11"/>
        <v>-13685898.031747133</v>
      </c>
    </row>
    <row r="133" spans="1:13" ht="13.5" x14ac:dyDescent="0.25">
      <c r="A133" s="1535" t="s">
        <v>1950</v>
      </c>
      <c r="B133" s="1544"/>
      <c r="C133" s="1545"/>
      <c r="D133" s="1546">
        <f>D132+'A8-ResRecon'!C19</f>
        <v>31518803.044567477</v>
      </c>
      <c r="E133" s="1546">
        <f>E132+'A8-ResRecon'!D19</f>
        <v>-9884278.6898808125</v>
      </c>
      <c r="F133" s="1555">
        <f>F132+'A8-ResRecon'!E19</f>
        <v>-14015118.857931817</v>
      </c>
      <c r="G133" s="1546">
        <f>G132+'A8-ResRecon'!F19</f>
        <v>-6942189.117787987</v>
      </c>
      <c r="H133" s="1546">
        <f>H132+'A8-ResRecon'!G19</f>
        <v>-49504551.513523884</v>
      </c>
      <c r="I133" s="1546">
        <f>I132+'A8-ResRecon'!H19</f>
        <v>-49504551.513523906</v>
      </c>
      <c r="J133" s="1555">
        <f>J132+'A8-ResRecon'!I19</f>
        <v>-49504551.513523906</v>
      </c>
      <c r="K133" s="1546">
        <f>K132+'A8-ResRecon'!J19</f>
        <v>-49986802.485109061</v>
      </c>
      <c r="L133" s="1546">
        <f>L132+'A8-ResRecon'!K19</f>
        <v>-57019247.398554817</v>
      </c>
      <c r="M133" s="1555">
        <f>M132+'A8-ResRecon'!L19</f>
        <v>-66215711.728285626</v>
      </c>
    </row>
    <row r="134" spans="1:13" ht="13.5" x14ac:dyDescent="0.25">
      <c r="A134" s="1536" t="s">
        <v>1949</v>
      </c>
      <c r="B134" s="1535"/>
      <c r="C134" s="1971">
        <v>15</v>
      </c>
      <c r="D134" s="1556">
        <f>IF(D133&gt;=0,1,0)</f>
        <v>1</v>
      </c>
      <c r="E134" s="1556">
        <f t="shared" ref="E134:M134" si="12">IF(E133&gt;=0,1,0)</f>
        <v>0</v>
      </c>
      <c r="F134" s="1557">
        <f t="shared" si="12"/>
        <v>0</v>
      </c>
      <c r="G134" s="1556">
        <f t="shared" si="12"/>
        <v>0</v>
      </c>
      <c r="H134" s="1556">
        <f t="shared" si="12"/>
        <v>0</v>
      </c>
      <c r="I134" s="1556">
        <f t="shared" si="12"/>
        <v>0</v>
      </c>
      <c r="J134" s="1557">
        <f t="shared" si="12"/>
        <v>0</v>
      </c>
      <c r="K134" s="1556">
        <f t="shared" si="12"/>
        <v>0</v>
      </c>
      <c r="L134" s="1556">
        <f t="shared" si="12"/>
        <v>0</v>
      </c>
      <c r="M134" s="1557">
        <f t="shared" si="12"/>
        <v>0</v>
      </c>
    </row>
    <row r="135" spans="1:13" s="1595" customFormat="1" ht="13.5" x14ac:dyDescent="0.25">
      <c r="A135" s="1591" t="s">
        <v>1957</v>
      </c>
      <c r="B135" s="1592"/>
      <c r="C135" s="1545">
        <v>15</v>
      </c>
      <c r="D135" s="1593" t="str">
        <f>IF(D134=1,"ü","û")</f>
        <v>ü</v>
      </c>
      <c r="E135" s="1593" t="str">
        <f t="shared" ref="E135:M135" si="13">IF(E134=1,"ü","û")</f>
        <v>û</v>
      </c>
      <c r="F135" s="1594" t="str">
        <f t="shared" si="13"/>
        <v>û</v>
      </c>
      <c r="G135" s="1593" t="str">
        <f t="shared" si="13"/>
        <v>û</v>
      </c>
      <c r="H135" s="1593" t="str">
        <f t="shared" si="13"/>
        <v>û</v>
      </c>
      <c r="I135" s="1593" t="str">
        <f t="shared" si="13"/>
        <v>û</v>
      </c>
      <c r="J135" s="1594" t="str">
        <f t="shared" si="13"/>
        <v>û</v>
      </c>
      <c r="K135" s="1593" t="str">
        <f t="shared" si="13"/>
        <v>û</v>
      </c>
      <c r="L135" s="1593" t="str">
        <f t="shared" si="13"/>
        <v>û</v>
      </c>
      <c r="M135" s="1594" t="str">
        <f t="shared" si="13"/>
        <v>û</v>
      </c>
    </row>
    <row r="136" spans="1:13" ht="13.5" x14ac:dyDescent="0.25">
      <c r="A136" s="1547"/>
      <c r="B136" s="1548"/>
      <c r="C136" s="1549"/>
      <c r="D136" s="1550"/>
      <c r="E136" s="1551"/>
      <c r="F136" s="1552"/>
      <c r="G136" s="1553"/>
      <c r="H136" s="1554"/>
      <c r="I136" s="1554"/>
      <c r="J136" s="1552"/>
      <c r="K136" s="1553"/>
      <c r="L136" s="1554"/>
      <c r="M136" s="1552"/>
    </row>
    <row r="137" spans="1:13" x14ac:dyDescent="0.25">
      <c r="A137" s="1972" t="str">
        <f>head27a</f>
        <v>References</v>
      </c>
    </row>
    <row r="138" spans="1:13" x14ac:dyDescent="0.25">
      <c r="A138" s="401" t="s">
        <v>2245</v>
      </c>
    </row>
  </sheetData>
  <sheetProtection password="C646" sheet="1" objects="1" scenarios="1"/>
  <mergeCells count="5">
    <mergeCell ref="A2:A3"/>
    <mergeCell ref="K2:M2"/>
    <mergeCell ref="B2:B3"/>
    <mergeCell ref="C2:C3"/>
    <mergeCell ref="G2:J2"/>
  </mergeCells>
  <phoneticPr fontId="4" type="noConversion"/>
  <dataValidations count="1">
    <dataValidation type="decimal" allowBlank="1" showInputMessage="1" showErrorMessage="1" sqref="K63:M67 K72:M75 K78:M81">
      <formula1>-9999999999999990</formula1>
      <formula2>99999999999999900</formula2>
    </dataValidation>
  </dataValidations>
  <pageMargins left="0.75" right="0.75" top="1" bottom="1" header="0.5" footer="0.5"/>
  <pageSetup scale="65" orientation="portrait" horizontalDpi="300" verticalDpi="300" r:id="rId1"/>
  <headerFooter alignWithMargins="0"/>
  <ignoredErrors>
    <ignoredError sqref="K68 L68:M68" formulaRang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enableFormatConditionsCalculation="0">
    <tabColor rgb="FF92D050"/>
    <pageSetUpPr fitToPage="1"/>
  </sheetPr>
  <dimension ref="A1:J180"/>
  <sheetViews>
    <sheetView topLeftCell="C1" workbookViewId="0">
      <pane ySplit="1" topLeftCell="A2" activePane="bottomLeft" state="frozen"/>
      <selection pane="bottomLeft" activeCell="E8" sqref="E8"/>
    </sheetView>
  </sheetViews>
  <sheetFormatPr defaultRowHeight="11.25" x14ac:dyDescent="0.2"/>
  <cols>
    <col min="1" max="1" width="23.140625" style="1113" customWidth="1"/>
    <col min="2" max="2" width="92.140625" style="1112" customWidth="1"/>
    <col min="3" max="3" width="17.5703125" style="1112" customWidth="1"/>
    <col min="4" max="4" width="10.5703125" style="1112" bestFit="1" customWidth="1"/>
    <col min="5" max="5" width="87.7109375" style="1112" customWidth="1"/>
    <col min="6" max="6" width="78.140625" style="1112" customWidth="1"/>
    <col min="7" max="10" width="9.140625" style="1113"/>
    <col min="11" max="16384" width="9.140625" style="1112"/>
  </cols>
  <sheetData>
    <row r="1" spans="1:4" x14ac:dyDescent="0.2">
      <c r="A1" s="2665" t="s">
        <v>977</v>
      </c>
      <c r="B1" s="2666"/>
      <c r="C1" s="2666"/>
      <c r="D1" s="2667"/>
    </row>
    <row r="2" spans="1:4" x14ac:dyDescent="0.2">
      <c r="A2" s="1306" t="s">
        <v>754</v>
      </c>
      <c r="B2" s="1307" t="str">
        <f>HLOOKUP(MTREF,Headings,2)</f>
        <v>2010/11</v>
      </c>
      <c r="C2" s="1308" t="s">
        <v>125</v>
      </c>
      <c r="D2" s="1309"/>
    </row>
    <row r="3" spans="1:4" x14ac:dyDescent="0.2">
      <c r="A3" s="1310" t="s">
        <v>408</v>
      </c>
      <c r="B3" s="1311" t="str">
        <f>HLOOKUP(MTREF,Headings,3)</f>
        <v>2009/10</v>
      </c>
      <c r="C3" s="1312" t="s">
        <v>126</v>
      </c>
      <c r="D3" s="1313"/>
    </row>
    <row r="4" spans="1:4" x14ac:dyDescent="0.2">
      <c r="A4" s="1310" t="s">
        <v>807</v>
      </c>
      <c r="B4" s="1311" t="str">
        <f>HLOOKUP(MTREF,Headings,4)</f>
        <v>2008/9</v>
      </c>
      <c r="C4" s="1312" t="s">
        <v>127</v>
      </c>
      <c r="D4" s="1313"/>
    </row>
    <row r="5" spans="1:4" x14ac:dyDescent="0.2">
      <c r="A5" s="1310" t="s">
        <v>1623</v>
      </c>
      <c r="B5" s="1312" t="str">
        <f>HLOOKUP(MTREF,Headings,5)</f>
        <v>Current Year 2011/12</v>
      </c>
      <c r="C5" s="1312" t="s">
        <v>892</v>
      </c>
      <c r="D5" s="1313"/>
    </row>
    <row r="6" spans="1:4" x14ac:dyDescent="0.2">
      <c r="A6" s="1310" t="s">
        <v>782</v>
      </c>
      <c r="B6" s="1311" t="str">
        <f>HLOOKUP(MTREF,Headings,6)</f>
        <v>2011/12</v>
      </c>
      <c r="C6" s="1312" t="s">
        <v>892</v>
      </c>
      <c r="D6" s="1313"/>
    </row>
    <row r="7" spans="1:4" x14ac:dyDescent="0.2">
      <c r="A7" s="1310" t="s">
        <v>1624</v>
      </c>
      <c r="B7" s="1312" t="str">
        <f>HLOOKUP(MTREF,Headings,7)</f>
        <v>2012/13 Medium Term Revenue &amp; Expenditure Framework</v>
      </c>
      <c r="C7" s="1312" t="s">
        <v>893</v>
      </c>
      <c r="D7" s="1313"/>
    </row>
    <row r="8" spans="1:4" x14ac:dyDescent="0.2">
      <c r="A8" s="1198" t="s">
        <v>1625</v>
      </c>
      <c r="B8" s="1199" t="s">
        <v>549</v>
      </c>
      <c r="C8" s="1199" t="s">
        <v>894</v>
      </c>
      <c r="D8" s="1116"/>
    </row>
    <row r="9" spans="1:4" x14ac:dyDescent="0.2">
      <c r="A9" s="1198" t="s">
        <v>1626</v>
      </c>
      <c r="B9" s="1199" t="s">
        <v>1065</v>
      </c>
      <c r="C9" s="1115"/>
      <c r="D9" s="1116"/>
    </row>
    <row r="10" spans="1:4" x14ac:dyDescent="0.2">
      <c r="A10" s="1198" t="s">
        <v>318</v>
      </c>
      <c r="B10" s="1199" t="s">
        <v>319</v>
      </c>
      <c r="C10" s="1115"/>
      <c r="D10" s="1116"/>
    </row>
    <row r="11" spans="1:4" x14ac:dyDescent="0.2">
      <c r="A11" s="1198" t="s">
        <v>671</v>
      </c>
      <c r="B11" s="1199" t="s">
        <v>672</v>
      </c>
      <c r="C11" s="1115"/>
      <c r="D11" s="1116"/>
    </row>
    <row r="12" spans="1:4" x14ac:dyDescent="0.2">
      <c r="A12" s="1198" t="s">
        <v>1627</v>
      </c>
      <c r="B12" s="1199" t="s">
        <v>467</v>
      </c>
      <c r="C12" s="1115"/>
      <c r="D12" s="1116"/>
    </row>
    <row r="13" spans="1:4" x14ac:dyDescent="0.2">
      <c r="A13" s="1198" t="s">
        <v>1628</v>
      </c>
      <c r="B13" s="1199" t="s">
        <v>1807</v>
      </c>
      <c r="C13" s="1115"/>
      <c r="D13" s="1116"/>
    </row>
    <row r="14" spans="1:4" x14ac:dyDescent="0.2">
      <c r="A14" s="1198" t="s">
        <v>1629</v>
      </c>
      <c r="B14" s="1199" t="s">
        <v>1808</v>
      </c>
      <c r="C14" s="1115"/>
      <c r="D14" s="1116"/>
    </row>
    <row r="15" spans="1:4" x14ac:dyDescent="0.2">
      <c r="A15" s="1310" t="s">
        <v>1630</v>
      </c>
      <c r="B15" s="1312" t="str">
        <f>HLOOKUP(MTREF,Headings,8)</f>
        <v>Budget Year 2012/13</v>
      </c>
      <c r="C15" s="1312" t="s">
        <v>895</v>
      </c>
      <c r="D15" s="1200" t="s">
        <v>1709</v>
      </c>
    </row>
    <row r="16" spans="1:4" x14ac:dyDescent="0.2">
      <c r="A16" s="1310" t="s">
        <v>1631</v>
      </c>
      <c r="B16" s="1312" t="str">
        <f>HLOOKUP(MTREF,Headings,9)</f>
        <v>Budget Year +1 2013/14</v>
      </c>
      <c r="C16" s="1312" t="s">
        <v>896</v>
      </c>
      <c r="D16" s="1200" t="s">
        <v>1710</v>
      </c>
    </row>
    <row r="17" spans="1:4" x14ac:dyDescent="0.2">
      <c r="A17" s="1310" t="s">
        <v>1636</v>
      </c>
      <c r="B17" s="1312" t="str">
        <f>HLOOKUP(MTREF,Headings,10)</f>
        <v>Budget Year +2 2014/15</v>
      </c>
      <c r="C17" s="1312" t="s">
        <v>897</v>
      </c>
      <c r="D17" s="1200" t="s">
        <v>1711</v>
      </c>
    </row>
    <row r="18" spans="1:4" x14ac:dyDescent="0.2">
      <c r="A18" s="1310" t="s">
        <v>1637</v>
      </c>
      <c r="B18" s="1312" t="str">
        <f>HLOOKUP(MTREF,Headings,11)</f>
        <v>Forecast 2015/16</v>
      </c>
      <c r="C18" s="1312" t="s">
        <v>1107</v>
      </c>
      <c r="D18" s="1200" t="s">
        <v>1712</v>
      </c>
    </row>
    <row r="19" spans="1:4" x14ac:dyDescent="0.2">
      <c r="A19" s="1310" t="s">
        <v>1638</v>
      </c>
      <c r="B19" s="1312" t="str">
        <f>HLOOKUP(MTREF,Headings,12)</f>
        <v>Forecast 2016/17</v>
      </c>
      <c r="C19" s="1312" t="s">
        <v>1108</v>
      </c>
      <c r="D19" s="1200" t="s">
        <v>1713</v>
      </c>
    </row>
    <row r="20" spans="1:4" x14ac:dyDescent="0.2">
      <c r="A20" s="1310" t="s">
        <v>1639</v>
      </c>
      <c r="B20" s="1312" t="str">
        <f>HLOOKUP(MTREF,Headings,13)</f>
        <v>Forecast 2017/18</v>
      </c>
      <c r="C20" s="1312" t="s">
        <v>1108</v>
      </c>
      <c r="D20" s="1200" t="s">
        <v>1714</v>
      </c>
    </row>
    <row r="21" spans="1:4" x14ac:dyDescent="0.2">
      <c r="A21" s="1310" t="s">
        <v>1640</v>
      </c>
      <c r="B21" s="1312" t="str">
        <f>HLOOKUP(MTREF,Headings,14)</f>
        <v>Forecast 2018/19</v>
      </c>
      <c r="C21" s="1312" t="s">
        <v>1108</v>
      </c>
      <c r="D21" s="1200" t="s">
        <v>1715</v>
      </c>
    </row>
    <row r="22" spans="1:4" x14ac:dyDescent="0.2">
      <c r="A22" s="1310" t="s">
        <v>1641</v>
      </c>
      <c r="B22" s="1312" t="str">
        <f>HLOOKUP(MTREF,Headings,15)</f>
        <v>Forecast 2019/20</v>
      </c>
      <c r="C22" s="1312" t="s">
        <v>1108</v>
      </c>
      <c r="D22" s="1200" t="s">
        <v>1716</v>
      </c>
    </row>
    <row r="23" spans="1:4" x14ac:dyDescent="0.2">
      <c r="A23" s="1310" t="s">
        <v>1642</v>
      </c>
      <c r="B23" s="1312" t="str">
        <f>HLOOKUP(MTREF,Headings,16)</f>
        <v>Forecast 2020/21</v>
      </c>
      <c r="C23" s="1312" t="s">
        <v>1108</v>
      </c>
      <c r="D23" s="1200" t="s">
        <v>1717</v>
      </c>
    </row>
    <row r="24" spans="1:4" x14ac:dyDescent="0.2">
      <c r="A24" s="1310" t="s">
        <v>1643</v>
      </c>
      <c r="B24" s="1312" t="str">
        <f>HLOOKUP(MTREF,Headings,17)</f>
        <v>Forecast 2021/22</v>
      </c>
      <c r="C24" s="1312" t="s">
        <v>1108</v>
      </c>
      <c r="D24" s="1200" t="s">
        <v>655</v>
      </c>
    </row>
    <row r="25" spans="1:4" x14ac:dyDescent="0.2">
      <c r="A25" s="1310" t="s">
        <v>1644</v>
      </c>
      <c r="B25" s="1312" t="str">
        <f>HLOOKUP(MTREF,Headings,18)</f>
        <v>Forecast 2022/23</v>
      </c>
      <c r="C25" s="1312" t="s">
        <v>1108</v>
      </c>
      <c r="D25" s="1200" t="s">
        <v>656</v>
      </c>
    </row>
    <row r="26" spans="1:4" x14ac:dyDescent="0.2">
      <c r="A26" s="1310" t="s">
        <v>1645</v>
      </c>
      <c r="B26" s="1312" t="str">
        <f>HLOOKUP(MTREF,Headings,19)</f>
        <v>Forecast 2023/24</v>
      </c>
      <c r="C26" s="1312" t="s">
        <v>1108</v>
      </c>
      <c r="D26" s="1200" t="s">
        <v>657</v>
      </c>
    </row>
    <row r="27" spans="1:4" x14ac:dyDescent="0.2">
      <c r="A27" s="1310" t="s">
        <v>1646</v>
      </c>
      <c r="B27" s="1312" t="str">
        <f>HLOOKUP(MTREF,Headings,20)</f>
        <v>Forecast 2024/25</v>
      </c>
      <c r="C27" s="1312" t="s">
        <v>1108</v>
      </c>
      <c r="D27" s="1200" t="s">
        <v>658</v>
      </c>
    </row>
    <row r="28" spans="1:4" x14ac:dyDescent="0.2">
      <c r="A28" s="1310" t="s">
        <v>1647</v>
      </c>
      <c r="B28" s="1312" t="str">
        <f>HLOOKUP(MTREF,Headings,21)</f>
        <v>Forecast 2025/26</v>
      </c>
      <c r="C28" s="1312" t="s">
        <v>1108</v>
      </c>
      <c r="D28" s="1200" t="s">
        <v>659</v>
      </c>
    </row>
    <row r="29" spans="1:4" x14ac:dyDescent="0.2">
      <c r="A29" s="1310" t="s">
        <v>1648</v>
      </c>
      <c r="B29" s="1312" t="str">
        <f>HLOOKUP(MTREF,Headings,22)</f>
        <v>Forecast 2026/27</v>
      </c>
      <c r="C29" s="1312" t="s">
        <v>1108</v>
      </c>
      <c r="D29" s="1200" t="s">
        <v>660</v>
      </c>
    </row>
    <row r="30" spans="1:4" x14ac:dyDescent="0.2">
      <c r="A30" s="1198" t="s">
        <v>1088</v>
      </c>
      <c r="B30" s="1199" t="s">
        <v>775</v>
      </c>
      <c r="C30" s="1115"/>
      <c r="D30" s="1117"/>
    </row>
    <row r="31" spans="1:4" x14ac:dyDescent="0.2">
      <c r="A31" s="1198" t="s">
        <v>1028</v>
      </c>
      <c r="B31" s="1115"/>
      <c r="C31" s="1115"/>
      <c r="D31" s="1117"/>
    </row>
    <row r="32" spans="1:4" x14ac:dyDescent="0.2">
      <c r="A32" s="1198" t="s">
        <v>808</v>
      </c>
      <c r="B32" s="1199" t="s">
        <v>809</v>
      </c>
      <c r="C32" s="1115"/>
      <c r="D32" s="1117"/>
    </row>
    <row r="33" spans="1:4" x14ac:dyDescent="0.2">
      <c r="A33" s="1198" t="s">
        <v>810</v>
      </c>
      <c r="B33" s="1199" t="s">
        <v>429</v>
      </c>
      <c r="C33" s="1115"/>
      <c r="D33" s="1117"/>
    </row>
    <row r="34" spans="1:4" x14ac:dyDescent="0.2">
      <c r="A34" s="1198" t="s">
        <v>985</v>
      </c>
      <c r="B34" s="1199" t="s">
        <v>986</v>
      </c>
      <c r="C34" s="1115"/>
      <c r="D34" s="1117"/>
    </row>
    <row r="35" spans="1:4" x14ac:dyDescent="0.2">
      <c r="A35" s="1198" t="s">
        <v>926</v>
      </c>
      <c r="B35" s="1199" t="s">
        <v>898</v>
      </c>
      <c r="C35" s="1115"/>
      <c r="D35" s="1200" t="s">
        <v>927</v>
      </c>
    </row>
    <row r="36" spans="1:4" x14ac:dyDescent="0.2">
      <c r="A36" s="1310" t="s">
        <v>1737</v>
      </c>
      <c r="B36" s="1312" t="str">
        <f>HLOOKUP(MTREF,Headings,23)</f>
        <v>Annual target 2012/13</v>
      </c>
      <c r="C36" s="1312"/>
      <c r="D36" s="1117"/>
    </row>
    <row r="37" spans="1:4" x14ac:dyDescent="0.2">
      <c r="A37" s="1310" t="s">
        <v>1738</v>
      </c>
      <c r="B37" s="1312" t="str">
        <f>HLOOKUP(MTREF,Headings,24)</f>
        <v>Revised target 2012/13</v>
      </c>
      <c r="C37" s="1312"/>
      <c r="D37" s="1117"/>
    </row>
    <row r="38" spans="1:4" x14ac:dyDescent="0.2">
      <c r="A38" s="1198" t="s">
        <v>1739</v>
      </c>
      <c r="B38" s="1199" t="s">
        <v>643</v>
      </c>
      <c r="C38" s="1115"/>
      <c r="D38" s="1117"/>
    </row>
    <row r="39" spans="1:4" x14ac:dyDescent="0.2">
      <c r="A39" s="1198" t="s">
        <v>1740</v>
      </c>
      <c r="B39" s="1199" t="s">
        <v>644</v>
      </c>
      <c r="C39" s="1115"/>
      <c r="D39" s="1117"/>
    </row>
    <row r="40" spans="1:4" x14ac:dyDescent="0.2">
      <c r="A40" s="1198" t="s">
        <v>1741</v>
      </c>
      <c r="B40" s="1199" t="s">
        <v>645</v>
      </c>
      <c r="C40" s="1115"/>
      <c r="D40" s="1117"/>
    </row>
    <row r="41" spans="1:4" x14ac:dyDescent="0.2">
      <c r="A41" s="1198" t="s">
        <v>1742</v>
      </c>
      <c r="B41" s="1199" t="s">
        <v>641</v>
      </c>
      <c r="C41" s="1115"/>
      <c r="D41" s="1117"/>
    </row>
    <row r="42" spans="1:4" x14ac:dyDescent="0.2">
      <c r="A42" s="1198" t="s">
        <v>642</v>
      </c>
      <c r="B42" s="1199" t="s">
        <v>1517</v>
      </c>
      <c r="C42" s="1115"/>
      <c r="D42" s="1117"/>
    </row>
    <row r="43" spans="1:4" x14ac:dyDescent="0.2">
      <c r="A43" s="1198" t="s">
        <v>351</v>
      </c>
      <c r="B43" s="1199" t="s">
        <v>777</v>
      </c>
      <c r="C43" s="1115"/>
      <c r="D43" s="1117"/>
    </row>
    <row r="44" spans="1:4" x14ac:dyDescent="0.2">
      <c r="A44" s="1198" t="s">
        <v>352</v>
      </c>
      <c r="B44" s="1199" t="s">
        <v>778</v>
      </c>
      <c r="C44" s="1115"/>
      <c r="D44" s="1117"/>
    </row>
    <row r="45" spans="1:4" x14ac:dyDescent="0.2">
      <c r="A45" s="1198" t="s">
        <v>353</v>
      </c>
      <c r="B45" s="1199" t="s">
        <v>1303</v>
      </c>
      <c r="C45" s="1115"/>
      <c r="D45" s="1117"/>
    </row>
    <row r="46" spans="1:4" x14ac:dyDescent="0.2">
      <c r="A46" s="1198" t="s">
        <v>1302</v>
      </c>
      <c r="B46" s="1199" t="s">
        <v>1356</v>
      </c>
      <c r="C46" s="1115"/>
      <c r="D46" s="1117"/>
    </row>
    <row r="47" spans="1:4" x14ac:dyDescent="0.2">
      <c r="A47" s="1198" t="s">
        <v>1304</v>
      </c>
      <c r="B47" s="1201" t="s">
        <v>98</v>
      </c>
      <c r="C47" s="1115"/>
      <c r="D47" s="1117"/>
    </row>
    <row r="48" spans="1:4" x14ac:dyDescent="0.2">
      <c r="A48" s="1198" t="s">
        <v>1305</v>
      </c>
      <c r="B48" s="1201" t="s">
        <v>100</v>
      </c>
      <c r="C48" s="1115"/>
      <c r="D48" s="1117"/>
    </row>
    <row r="49" spans="1:4" x14ac:dyDescent="0.2">
      <c r="A49" s="1198" t="s">
        <v>1306</v>
      </c>
      <c r="B49" s="1201" t="s">
        <v>1213</v>
      </c>
      <c r="C49" s="1115"/>
      <c r="D49" s="1117"/>
    </row>
    <row r="50" spans="1:4" x14ac:dyDescent="0.2">
      <c r="A50" s="1198" t="s">
        <v>99</v>
      </c>
      <c r="B50" s="1201" t="str">
        <f>Head3&amp;" Summary"</f>
        <v>2012/13 Medium Term Revenue &amp; Expenditure Framework Summary</v>
      </c>
      <c r="C50" s="1115"/>
      <c r="D50" s="1117"/>
    </row>
    <row r="51" spans="1:4" x14ac:dyDescent="0.2">
      <c r="A51" s="1198" t="s">
        <v>647</v>
      </c>
      <c r="B51" s="1201" t="s">
        <v>650</v>
      </c>
      <c r="C51" s="1115"/>
      <c r="D51" s="1117"/>
    </row>
    <row r="52" spans="1:4" x14ac:dyDescent="0.2">
      <c r="A52" s="1198" t="s">
        <v>648</v>
      </c>
      <c r="B52" s="1201" t="s">
        <v>649</v>
      </c>
      <c r="C52" s="1115"/>
      <c r="D52" s="1117"/>
    </row>
    <row r="53" spans="1:4" x14ac:dyDescent="0.2">
      <c r="A53" s="1198" t="s">
        <v>1541</v>
      </c>
      <c r="B53" s="1202" t="s">
        <v>1542</v>
      </c>
      <c r="C53" s="1119"/>
      <c r="D53" s="1117"/>
    </row>
    <row r="54" spans="1:4" x14ac:dyDescent="0.2">
      <c r="A54" s="1198" t="s">
        <v>980</v>
      </c>
      <c r="B54" s="1201" t="s">
        <v>1657</v>
      </c>
      <c r="C54" s="1115"/>
      <c r="D54" s="1117"/>
    </row>
    <row r="55" spans="1:4" x14ac:dyDescent="0.2">
      <c r="A55" s="1198" t="s">
        <v>399</v>
      </c>
      <c r="B55" s="1201" t="s">
        <v>879</v>
      </c>
      <c r="C55" s="1115"/>
      <c r="D55" s="1117"/>
    </row>
    <row r="56" spans="1:4" x14ac:dyDescent="0.2">
      <c r="A56" s="1198" t="s">
        <v>1363</v>
      </c>
      <c r="B56" s="1118"/>
      <c r="C56" s="1115"/>
      <c r="D56" s="1117"/>
    </row>
    <row r="57" spans="1:4" x14ac:dyDescent="0.2">
      <c r="A57" s="1198" t="s">
        <v>1364</v>
      </c>
      <c r="B57" s="1201" t="s">
        <v>598</v>
      </c>
      <c r="C57" s="1115"/>
      <c r="D57" s="1117"/>
    </row>
    <row r="58" spans="1:4" x14ac:dyDescent="0.2">
      <c r="A58" s="1198" t="s">
        <v>593</v>
      </c>
      <c r="B58" s="1201" t="s">
        <v>597</v>
      </c>
      <c r="C58" s="1115"/>
      <c r="D58" s="1117"/>
    </row>
    <row r="59" spans="1:4" x14ac:dyDescent="0.2">
      <c r="A59" s="1198" t="s">
        <v>594</v>
      </c>
      <c r="B59" s="1201" t="s">
        <v>466</v>
      </c>
      <c r="C59" s="1115"/>
      <c r="D59" s="1117"/>
    </row>
    <row r="60" spans="1:4" x14ac:dyDescent="0.2">
      <c r="A60" s="1198" t="s">
        <v>595</v>
      </c>
      <c r="B60" s="1201" t="s">
        <v>599</v>
      </c>
      <c r="C60" s="1115"/>
      <c r="D60" s="1117"/>
    </row>
    <row r="61" spans="1:4" x14ac:dyDescent="0.2">
      <c r="A61" s="1198" t="s">
        <v>596</v>
      </c>
      <c r="B61" s="1201" t="s">
        <v>472</v>
      </c>
      <c r="C61" s="1115"/>
      <c r="D61" s="1117"/>
    </row>
    <row r="62" spans="1:4" x14ac:dyDescent="0.2">
      <c r="A62" s="1198" t="s">
        <v>1504</v>
      </c>
      <c r="B62" s="1201" t="s">
        <v>465</v>
      </c>
      <c r="C62" s="1115"/>
      <c r="D62" s="1117"/>
    </row>
    <row r="63" spans="1:4" x14ac:dyDescent="0.2">
      <c r="A63" s="1198" t="s">
        <v>1677</v>
      </c>
      <c r="B63" s="1201" t="s">
        <v>1678</v>
      </c>
      <c r="C63" s="1115"/>
      <c r="D63" s="1117"/>
    </row>
    <row r="64" spans="1:4" x14ac:dyDescent="0.2">
      <c r="A64" s="1198" t="s">
        <v>486</v>
      </c>
      <c r="B64" s="1201" t="s">
        <v>484</v>
      </c>
      <c r="C64" s="1115"/>
      <c r="D64" s="1117"/>
    </row>
    <row r="65" spans="1:4" x14ac:dyDescent="0.2">
      <c r="A65" s="1198" t="s">
        <v>487</v>
      </c>
      <c r="B65" s="1201" t="s">
        <v>485</v>
      </c>
      <c r="C65" s="1115"/>
      <c r="D65" s="1117"/>
    </row>
    <row r="66" spans="1:4" x14ac:dyDescent="0.2">
      <c r="A66" s="1198" t="s">
        <v>488</v>
      </c>
      <c r="B66" s="1201" t="s">
        <v>490</v>
      </c>
      <c r="C66" s="1115"/>
      <c r="D66" s="1117"/>
    </row>
    <row r="67" spans="1:4" x14ac:dyDescent="0.2">
      <c r="A67" s="1198" t="s">
        <v>489</v>
      </c>
      <c r="B67" s="1201" t="s">
        <v>803</v>
      </c>
      <c r="C67" s="1115"/>
      <c r="D67" s="1117"/>
    </row>
    <row r="68" spans="1:4" x14ac:dyDescent="0.2">
      <c r="A68" s="1198" t="s">
        <v>804</v>
      </c>
      <c r="B68" s="1201" t="s">
        <v>935</v>
      </c>
      <c r="C68" s="1115"/>
      <c r="D68" s="1117"/>
    </row>
    <row r="69" spans="1:4" x14ac:dyDescent="0.2">
      <c r="A69" s="1198" t="s">
        <v>805</v>
      </c>
      <c r="B69" s="1201" t="s">
        <v>1265</v>
      </c>
      <c r="C69" s="1115"/>
      <c r="D69" s="1117"/>
    </row>
    <row r="70" spans="1:4" x14ac:dyDescent="0.2">
      <c r="A70" s="1198" t="s">
        <v>1481</v>
      </c>
      <c r="B70" s="1201" t="s">
        <v>1480</v>
      </c>
      <c r="C70" s="1115"/>
      <c r="D70" s="1117"/>
    </row>
    <row r="71" spans="1:4" x14ac:dyDescent="0.2">
      <c r="A71" s="1198" t="s">
        <v>1482</v>
      </c>
      <c r="B71" s="1201" t="s">
        <v>1252</v>
      </c>
      <c r="C71" s="1115"/>
      <c r="D71" s="1200" t="s">
        <v>1746</v>
      </c>
    </row>
    <row r="72" spans="1:4" x14ac:dyDescent="0.2">
      <c r="A72" s="1198" t="s">
        <v>1483</v>
      </c>
      <c r="B72" s="1201" t="s">
        <v>1253</v>
      </c>
      <c r="C72" s="1115"/>
      <c r="D72" s="1200" t="s">
        <v>1747</v>
      </c>
    </row>
    <row r="73" spans="1:4" x14ac:dyDescent="0.2">
      <c r="A73" s="1198" t="s">
        <v>1484</v>
      </c>
      <c r="B73" s="1201" t="s">
        <v>1254</v>
      </c>
      <c r="C73" s="1115"/>
      <c r="D73" s="1200" t="s">
        <v>1748</v>
      </c>
    </row>
    <row r="74" spans="1:4" x14ac:dyDescent="0.2">
      <c r="A74" s="1198" t="s">
        <v>1485</v>
      </c>
      <c r="B74" s="1201" t="s">
        <v>1255</v>
      </c>
      <c r="C74" s="1115"/>
      <c r="D74" s="1200" t="s">
        <v>1749</v>
      </c>
    </row>
    <row r="75" spans="1:4" x14ac:dyDescent="0.2">
      <c r="A75" s="1198" t="s">
        <v>1486</v>
      </c>
      <c r="B75" s="1201" t="s">
        <v>1256</v>
      </c>
      <c r="C75" s="1115"/>
      <c r="D75" s="1200" t="s">
        <v>1750</v>
      </c>
    </row>
    <row r="76" spans="1:4" x14ac:dyDescent="0.2">
      <c r="A76" s="1198" t="s">
        <v>1311</v>
      </c>
      <c r="B76" s="1201" t="s">
        <v>1257</v>
      </c>
      <c r="C76" s="1115"/>
      <c r="D76" s="1200" t="s">
        <v>1751</v>
      </c>
    </row>
    <row r="77" spans="1:4" x14ac:dyDescent="0.2">
      <c r="A77" s="1198" t="s">
        <v>1312</v>
      </c>
      <c r="B77" s="1201" t="s">
        <v>1258</v>
      </c>
      <c r="C77" s="1115"/>
      <c r="D77" s="1200" t="s">
        <v>1752</v>
      </c>
    </row>
    <row r="78" spans="1:4" x14ac:dyDescent="0.2">
      <c r="A78" s="1198" t="s">
        <v>1313</v>
      </c>
      <c r="B78" s="1201" t="s">
        <v>1259</v>
      </c>
      <c r="C78" s="1115"/>
      <c r="D78" s="1200" t="s">
        <v>1753</v>
      </c>
    </row>
    <row r="79" spans="1:4" x14ac:dyDescent="0.2">
      <c r="A79" s="1198" t="s">
        <v>1314</v>
      </c>
      <c r="B79" s="1201" t="s">
        <v>1260</v>
      </c>
      <c r="C79" s="1115"/>
      <c r="D79" s="1200" t="s">
        <v>1754</v>
      </c>
    </row>
    <row r="80" spans="1:4" x14ac:dyDescent="0.2">
      <c r="A80" s="1198" t="s">
        <v>1315</v>
      </c>
      <c r="B80" s="1201" t="s">
        <v>1056</v>
      </c>
      <c r="C80" s="1115"/>
      <c r="D80" s="1200" t="s">
        <v>1323</v>
      </c>
    </row>
    <row r="81" spans="1:4" x14ac:dyDescent="0.2">
      <c r="A81" s="1198" t="s">
        <v>1316</v>
      </c>
      <c r="B81" s="1201" t="s">
        <v>1057</v>
      </c>
      <c r="C81" s="1115"/>
      <c r="D81" s="1200" t="s">
        <v>1324</v>
      </c>
    </row>
    <row r="82" spans="1:4" x14ac:dyDescent="0.2">
      <c r="A82" s="1198" t="s">
        <v>1317</v>
      </c>
      <c r="B82" s="1201" t="s">
        <v>1058</v>
      </c>
      <c r="C82" s="1115"/>
      <c r="D82" s="1200" t="s">
        <v>1325</v>
      </c>
    </row>
    <row r="83" spans="1:4" x14ac:dyDescent="0.2">
      <c r="A83" s="1198" t="s">
        <v>1318</v>
      </c>
      <c r="B83" s="1201" t="s">
        <v>1059</v>
      </c>
      <c r="C83" s="1115"/>
      <c r="D83" s="1200" t="s">
        <v>1326</v>
      </c>
    </row>
    <row r="84" spans="1:4" x14ac:dyDescent="0.2">
      <c r="A84" s="1198" t="s">
        <v>1745</v>
      </c>
      <c r="B84" s="1201" t="s">
        <v>1822</v>
      </c>
      <c r="C84" s="1115"/>
      <c r="D84" s="1200" t="s">
        <v>1327</v>
      </c>
    </row>
    <row r="85" spans="1:4" x14ac:dyDescent="0.2">
      <c r="A85" s="1120"/>
      <c r="B85" s="1121"/>
      <c r="C85" s="1122"/>
      <c r="D85" s="1123"/>
    </row>
    <row r="86" spans="1:4" x14ac:dyDescent="0.2">
      <c r="A86" s="1124"/>
      <c r="B86" s="1122"/>
      <c r="C86" s="1115"/>
      <c r="D86" s="1125"/>
    </row>
    <row r="87" spans="1:4" x14ac:dyDescent="0.2">
      <c r="A87" s="2668" t="s">
        <v>1100</v>
      </c>
      <c r="B87" s="2669"/>
      <c r="C87" s="1126"/>
    </row>
    <row r="88" spans="1:4" x14ac:dyDescent="0.2">
      <c r="A88" s="1203" t="s">
        <v>496</v>
      </c>
      <c r="B88" s="1204" t="s">
        <v>497</v>
      </c>
      <c r="C88" s="1115"/>
    </row>
    <row r="89" spans="1:4" x14ac:dyDescent="0.2">
      <c r="A89" s="1128"/>
      <c r="B89" s="1205" t="s">
        <v>720</v>
      </c>
      <c r="C89" s="1115"/>
    </row>
    <row r="90" spans="1:4" x14ac:dyDescent="0.2">
      <c r="A90" s="1124"/>
      <c r="B90" s="1206" t="s">
        <v>721</v>
      </c>
      <c r="C90" s="1115"/>
    </row>
    <row r="92" spans="1:4" x14ac:dyDescent="0.2">
      <c r="A92" s="2668" t="s">
        <v>434</v>
      </c>
      <c r="B92" s="2674"/>
      <c r="C92" s="2674"/>
      <c r="D92" s="2669"/>
    </row>
    <row r="93" spans="1:4" x14ac:dyDescent="0.2">
      <c r="A93" s="1314" t="s">
        <v>806</v>
      </c>
      <c r="B93" s="1315" t="str">
        <f>'Lookup and lists'!B28</f>
        <v>NC071 Ubuntu</v>
      </c>
      <c r="C93" s="1316"/>
      <c r="D93" s="1113"/>
    </row>
    <row r="94" spans="1:4" x14ac:dyDescent="0.2">
      <c r="A94" s="1314" t="s">
        <v>887</v>
      </c>
      <c r="B94" s="1317">
        <v>1</v>
      </c>
      <c r="C94" s="1316" t="s">
        <v>888</v>
      </c>
      <c r="D94" s="1207">
        <v>1</v>
      </c>
    </row>
    <row r="95" spans="1:4" x14ac:dyDescent="0.2">
      <c r="A95" s="1208" t="str">
        <f>IF((MuniEntities=1)*(MuniType=2),"YES","NO")</f>
        <v>NO</v>
      </c>
      <c r="B95" s="950" t="s">
        <v>1031</v>
      </c>
      <c r="D95" s="1113"/>
    </row>
    <row r="96" spans="1:4" x14ac:dyDescent="0.2">
      <c r="A96" s="1207" t="s">
        <v>1676</v>
      </c>
      <c r="B96" s="950" t="s">
        <v>1477</v>
      </c>
      <c r="D96" s="1207" t="s">
        <v>1532</v>
      </c>
    </row>
    <row r="97" spans="1:6" x14ac:dyDescent="0.2">
      <c r="A97" s="1207" t="s">
        <v>1266</v>
      </c>
      <c r="B97" s="950" t="s">
        <v>1478</v>
      </c>
      <c r="D97" s="1207" t="s">
        <v>1268</v>
      </c>
    </row>
    <row r="98" spans="1:6" x14ac:dyDescent="0.2">
      <c r="A98" s="1207" t="s">
        <v>1267</v>
      </c>
      <c r="B98" s="950" t="s">
        <v>1479</v>
      </c>
      <c r="D98" s="1207" t="s">
        <v>1269</v>
      </c>
    </row>
    <row r="99" spans="1:6" x14ac:dyDescent="0.2">
      <c r="A99" s="2672" t="s">
        <v>1101</v>
      </c>
      <c r="B99" s="2673"/>
      <c r="C99" s="1209" t="s">
        <v>1361</v>
      </c>
      <c r="D99" s="1210" t="s">
        <v>1360</v>
      </c>
      <c r="E99" s="1209" t="s">
        <v>1333</v>
      </c>
      <c r="F99" s="1210" t="s">
        <v>1333</v>
      </c>
    </row>
    <row r="100" spans="1:6" x14ac:dyDescent="0.2">
      <c r="A100" s="1128"/>
      <c r="B100" s="1211" t="str">
        <f t="shared" ref="B100:B109" si="0">IF(Consolques="YES",E100,F100)</f>
        <v>Table A1 Budget Summary</v>
      </c>
      <c r="C100" s="1127"/>
      <c r="D100" s="1198" t="s">
        <v>1833</v>
      </c>
      <c r="E100" s="950" t="str">
        <f>D100&amp;"Consolidated Budget Summary"</f>
        <v>Table A1 Consolidated Budget Summary</v>
      </c>
      <c r="F100" s="950" t="str">
        <f>D100&amp;"Budget Summary"</f>
        <v>Table A1 Budget Summary</v>
      </c>
    </row>
    <row r="101" spans="1:6" x14ac:dyDescent="0.2">
      <c r="A101" s="1128"/>
      <c r="B101" s="1211" t="str">
        <f t="shared" si="0"/>
        <v>Table A2 Budgeted Financial Performance (revenue and expenditure by standard classification)</v>
      </c>
      <c r="C101" s="1205" t="s">
        <v>638</v>
      </c>
      <c r="D101" s="1198" t="s">
        <v>1834</v>
      </c>
      <c r="E101" s="950" t="str">
        <f>D101&amp;"Consolidated Budgeted Financial Performance (revenue and expenditure by standard classification)"</f>
        <v>Table A2 Consolidated Budgeted Financial Performance (revenue and expenditure by standard classification)</v>
      </c>
      <c r="F101" s="950" t="str">
        <f>D101&amp;"Budgeted Financial Performance (revenue and expenditure by standard classification)"</f>
        <v>Table A2 Budgeted Financial Performance (revenue and expenditure by standard classification)</v>
      </c>
    </row>
    <row r="102" spans="1:6" x14ac:dyDescent="0.2">
      <c r="A102" s="1128"/>
      <c r="B102" s="1211" t="str">
        <f t="shared" si="0"/>
        <v>Table A3 Budgeted Financial Performance (revenue and expenditure by municipal vote)</v>
      </c>
      <c r="C102" s="1116"/>
      <c r="D102" s="1198" t="s">
        <v>1835</v>
      </c>
      <c r="E102" s="950" t="str">
        <f>D102&amp;"Consolidated Budgeted Financial Performance (revenue and expenditure by municipal vote)"</f>
        <v>Table A3 Consolidated Budgeted Financial Performance (revenue and expenditure by municipal vote)</v>
      </c>
      <c r="F102" s="950" t="str">
        <f>D102&amp;"Budgeted Financial Performance (revenue and expenditure by municipal vote)"</f>
        <v>Table A3 Budgeted Financial Performance (revenue and expenditure by municipal vote)</v>
      </c>
    </row>
    <row r="103" spans="1:6" x14ac:dyDescent="0.2">
      <c r="A103" s="1128"/>
      <c r="B103" s="1211" t="str">
        <f t="shared" si="0"/>
        <v>Table A4 Budgeted Financial Performance (revenue and expenditure)</v>
      </c>
      <c r="C103" s="1205" t="s">
        <v>637</v>
      </c>
      <c r="D103" s="1198" t="s">
        <v>1836</v>
      </c>
      <c r="E103" s="950" t="str">
        <f>D103&amp;"Consolidated Budgeted Financial Performance (revenue and expenditure)"</f>
        <v>Table A4 Consolidated Budgeted Financial Performance (revenue and expenditure)</v>
      </c>
      <c r="F103" s="950" t="str">
        <f>D103&amp;"Budgeted Financial Performance (revenue and expenditure)"</f>
        <v>Table A4 Budgeted Financial Performance (revenue and expenditure)</v>
      </c>
    </row>
    <row r="104" spans="1:6" x14ac:dyDescent="0.2">
      <c r="A104" s="1128"/>
      <c r="B104" s="1199" t="str">
        <f t="shared" si="0"/>
        <v>Table A5 Budgeted Capital Expenditure by vote, standard classification and funding</v>
      </c>
      <c r="C104" s="1205" t="s">
        <v>640</v>
      </c>
      <c r="D104" s="1198" t="s">
        <v>1837</v>
      </c>
      <c r="E104" s="950" t="str">
        <f>D104&amp;"Consolidated Budgeted Capital Expenditure by vote, standard classification and funding"</f>
        <v>Table A5 Consolidated Budgeted Capital Expenditure by vote, standard classification and funding</v>
      </c>
      <c r="F104" s="950" t="str">
        <f>D104&amp;"Budgeted Capital Expenditure by vote, standard classification and funding"</f>
        <v>Table A5 Budgeted Capital Expenditure by vote, standard classification and funding</v>
      </c>
    </row>
    <row r="105" spans="1:6" x14ac:dyDescent="0.2">
      <c r="A105" s="1128"/>
      <c r="B105" s="1199" t="str">
        <f t="shared" si="0"/>
        <v>Table A6 Budgeted Financial Position</v>
      </c>
      <c r="C105" s="1116"/>
      <c r="D105" s="1198" t="s">
        <v>1838</v>
      </c>
      <c r="E105" s="950" t="str">
        <f>D105&amp;"Consolidated Budgeted Financial Position"</f>
        <v>Table A6 Consolidated Budgeted Financial Position</v>
      </c>
      <c r="F105" s="950" t="str">
        <f>D105&amp;"Budgeted Financial Position"</f>
        <v>Table A6 Budgeted Financial Position</v>
      </c>
    </row>
    <row r="106" spans="1:6" x14ac:dyDescent="0.2">
      <c r="A106" s="1128"/>
      <c r="B106" s="1199" t="str">
        <f t="shared" si="0"/>
        <v>Table A7 Budgeted Cash Flows</v>
      </c>
      <c r="C106" s="1116"/>
      <c r="D106" s="1198" t="s">
        <v>1839</v>
      </c>
      <c r="E106" s="950" t="str">
        <f>D106&amp;"Consolidated Budgeted Cash Flows"</f>
        <v>Table A7 Consolidated Budgeted Cash Flows</v>
      </c>
      <c r="F106" s="950" t="str">
        <f>D106&amp;"Budgeted Cash Flows"</f>
        <v>Table A7 Budgeted Cash Flows</v>
      </c>
    </row>
    <row r="107" spans="1:6" x14ac:dyDescent="0.2">
      <c r="A107" s="1128"/>
      <c r="B107" s="1199" t="str">
        <f t="shared" si="0"/>
        <v>Table A8 Cash backed reserves/accumulated surplus reconciliation</v>
      </c>
      <c r="C107" s="1116"/>
      <c r="D107" s="1198" t="s">
        <v>1840</v>
      </c>
      <c r="E107" s="1212" t="str">
        <f>D107&amp;"Consolidated Cash backed reserves/accumulated surplus reconciliation"</f>
        <v>Table A8 Consolidated Cash backed reserves/accumulated surplus reconciliation</v>
      </c>
      <c r="F107" s="1212" t="str">
        <f>D107&amp;"Cash backed reserves/accumulated surplus reconciliation"</f>
        <v>Table A8 Cash backed reserves/accumulated surplus reconciliation</v>
      </c>
    </row>
    <row r="108" spans="1:6" x14ac:dyDescent="0.2">
      <c r="A108" s="1128"/>
      <c r="B108" s="1199" t="str">
        <f t="shared" si="0"/>
        <v>Table A9 Asset Management</v>
      </c>
      <c r="C108" s="1116"/>
      <c r="D108" s="1198" t="s">
        <v>1841</v>
      </c>
      <c r="E108" s="950" t="str">
        <f>D108&amp;"Consolidated Asset Management"</f>
        <v>Table A9 Consolidated Asset Management</v>
      </c>
      <c r="F108" s="950" t="str">
        <f>D108&amp;"Asset Management"</f>
        <v>Table A9 Asset Management</v>
      </c>
    </row>
    <row r="109" spans="1:6" x14ac:dyDescent="0.2">
      <c r="A109" s="1128"/>
      <c r="B109" s="1213" t="str">
        <f t="shared" si="0"/>
        <v>Table A10 Basic service delivery measurement</v>
      </c>
      <c r="C109" s="1129"/>
      <c r="D109" s="1214" t="s">
        <v>1842</v>
      </c>
      <c r="E109" s="950" t="str">
        <f>D109&amp;"Consolidated basic service delivery measurement"</f>
        <v>Table A10 Consolidated basic service delivery measurement</v>
      </c>
      <c r="F109" s="950" t="str">
        <f>D109&amp;"Basic service delivery measurement"</f>
        <v>Table A10 Basic service delivery measurement</v>
      </c>
    </row>
    <row r="110" spans="1:6" x14ac:dyDescent="0.2">
      <c r="A110" s="2670" t="s">
        <v>1382</v>
      </c>
      <c r="B110" s="2671"/>
      <c r="C110" s="1215" t="str">
        <f>$C$99</f>
        <v>Chart x-ref</v>
      </c>
      <c r="D110" s="1215" t="str">
        <f>$D$99</f>
        <v>Sch/Tab/Ch</v>
      </c>
    </row>
    <row r="111" spans="1:6" x14ac:dyDescent="0.2">
      <c r="A111" s="1216" t="s">
        <v>1383</v>
      </c>
      <c r="B111" s="1217" t="str">
        <f>A111&amp;" Supportinging detail to 'Budgeted Financial Performance'"</f>
        <v>Supporting Table SA1 Supportinging detail to 'Budgeted Financial Performance'</v>
      </c>
      <c r="C111" s="1130"/>
      <c r="D111" s="1130"/>
      <c r="E111" s="1115"/>
      <c r="F111" s="1115"/>
    </row>
    <row r="112" spans="1:6" x14ac:dyDescent="0.2">
      <c r="A112" s="1198" t="s">
        <v>1384</v>
      </c>
      <c r="B112" s="1199" t="str">
        <f>IF(Consolques="YES",E112,F112)</f>
        <v>Supporting Table SA2 Matrix Financial Performance Budget (revenue source/expenditure type and dept.)</v>
      </c>
      <c r="C112" s="1117"/>
      <c r="D112" s="1117"/>
      <c r="E112" s="1199" t="str">
        <f>A112&amp;"Consolidated Matrix Financial Performance Budget (revenue source/expenditure type &amp; dept.)"</f>
        <v>Supporting Table SA2 Consolidated Matrix Financial Performance Budget (revenue source/expenditure type &amp; dept.)</v>
      </c>
      <c r="F112" s="1199" t="str">
        <f>A112&amp;"Matrix Financial Performance Budget (revenue source/expenditure type and dept.)"</f>
        <v>Supporting Table SA2 Matrix Financial Performance Budget (revenue source/expenditure type and dept.)</v>
      </c>
    </row>
    <row r="113" spans="1:6" x14ac:dyDescent="0.2">
      <c r="A113" s="1198" t="s">
        <v>1385</v>
      </c>
      <c r="B113" s="1199" t="str">
        <f>A113&amp;"Supportinging detail to 'Budgeted Financial Position'"</f>
        <v>Supporting Table SA3 Supportinging detail to 'Budgeted Financial Position'</v>
      </c>
      <c r="C113" s="1117"/>
      <c r="D113" s="1117"/>
      <c r="E113" s="1115"/>
      <c r="F113" s="1115"/>
    </row>
    <row r="114" spans="1:6" x14ac:dyDescent="0.2">
      <c r="A114" s="1198" t="s">
        <v>1386</v>
      </c>
      <c r="B114" s="1199" t="str">
        <f>A114&amp;"Reconciliation of IDP strategic objectives and budget (revenue)"</f>
        <v>Supporting Table SA4 Reconciliation of IDP strategic objectives and budget (revenue)</v>
      </c>
      <c r="C114" s="1200" t="s">
        <v>1345</v>
      </c>
      <c r="D114" s="1117"/>
      <c r="E114" s="1115"/>
      <c r="F114" s="1115"/>
    </row>
    <row r="115" spans="1:6" x14ac:dyDescent="0.2">
      <c r="A115" s="1198" t="s">
        <v>41</v>
      </c>
      <c r="B115" s="1199" t="str">
        <f>A115&amp;"Reconciliation of IDP strategic objectives and budget (operating expenditure)"</f>
        <v>Supporting Table SA5 Reconciliation of IDP strategic objectives and budget (operating expenditure)</v>
      </c>
      <c r="C115" s="1200" t="s">
        <v>1346</v>
      </c>
      <c r="D115" s="1117"/>
      <c r="E115" s="1115"/>
      <c r="F115" s="1115"/>
    </row>
    <row r="116" spans="1:6" x14ac:dyDescent="0.2">
      <c r="A116" s="1198" t="s">
        <v>42</v>
      </c>
      <c r="B116" s="1199" t="str">
        <f>A116&amp;"Reconciliation of IDP strategic objectives and budget (capital expenditure)"</f>
        <v>Supporting Table SA6 Reconciliation of IDP strategic objectives and budget (capital expenditure)</v>
      </c>
      <c r="C116" s="1200" t="s">
        <v>1347</v>
      </c>
      <c r="D116" s="1117"/>
      <c r="E116" s="1115"/>
      <c r="F116" s="1115"/>
    </row>
    <row r="117" spans="1:6" x14ac:dyDescent="0.2">
      <c r="A117" s="1198" t="s">
        <v>43</v>
      </c>
      <c r="B117" s="1199" t="str">
        <f>A117&amp;" Measureable performance objectives"</f>
        <v>Supporting Table SA7 Measureable performance objectives</v>
      </c>
      <c r="C117" s="1117"/>
      <c r="D117" s="1117"/>
      <c r="E117" s="1115"/>
      <c r="F117" s="1115"/>
    </row>
    <row r="118" spans="1:6" x14ac:dyDescent="0.2">
      <c r="A118" s="1198" t="s">
        <v>44</v>
      </c>
      <c r="B118" s="1199" t="str">
        <f>A118&amp;" Performance indicators and benchmarks"</f>
        <v>Supporting Table SA8 Performance indicators and benchmarks</v>
      </c>
      <c r="C118" s="1200" t="s">
        <v>639</v>
      </c>
      <c r="D118" s="1117"/>
      <c r="E118" s="1115"/>
      <c r="F118" s="1115"/>
    </row>
    <row r="119" spans="1:6" x14ac:dyDescent="0.2">
      <c r="A119" s="1198" t="s">
        <v>45</v>
      </c>
      <c r="B119" s="1199" t="str">
        <f>A119&amp;" Social, economic and demographic statistics and assumptions"</f>
        <v>Supporting Table SA9 Social, economic and demographic statistics and assumptions</v>
      </c>
      <c r="C119" s="1117"/>
      <c r="D119" s="1117"/>
      <c r="E119" s="1115"/>
      <c r="F119" s="1115"/>
    </row>
    <row r="120" spans="1:6" x14ac:dyDescent="0.2">
      <c r="A120" s="1198" t="s">
        <v>996</v>
      </c>
      <c r="B120" s="1199" t="str">
        <f>A120&amp;" Funding measurement"</f>
        <v>Supporting Table SA10 Funding measurement</v>
      </c>
      <c r="C120" s="1200" t="s">
        <v>1348</v>
      </c>
      <c r="D120" s="1117"/>
      <c r="E120" s="1115"/>
      <c r="F120" s="1115"/>
    </row>
    <row r="121" spans="1:6" x14ac:dyDescent="0.2">
      <c r="A121" s="1198" t="s">
        <v>997</v>
      </c>
      <c r="B121" s="1211" t="str">
        <f>A121&amp;" Property rates summary"</f>
        <v>Supporting Table SA11 Property rates summary</v>
      </c>
      <c r="C121" s="1117"/>
      <c r="D121" s="1117"/>
      <c r="E121" s="1115"/>
      <c r="F121" s="1115"/>
    </row>
    <row r="122" spans="1:6" x14ac:dyDescent="0.2">
      <c r="A122" s="1198" t="s">
        <v>2058</v>
      </c>
      <c r="B122" s="1211" t="str">
        <f>A122&amp;" Property rates by category (current year)"</f>
        <v>Supporting Table SA12a Property rates by category (current year)</v>
      </c>
      <c r="C122" s="1117"/>
      <c r="D122" s="1117"/>
      <c r="E122" s="1115"/>
      <c r="F122" s="1115"/>
    </row>
    <row r="123" spans="1:6" x14ac:dyDescent="0.2">
      <c r="A123" s="1198" t="s">
        <v>2059</v>
      </c>
      <c r="B123" s="1211" t="str">
        <f>A123&amp;" Property rates by category (budget year)"</f>
        <v>Supporting Table SA12b Property rates by category (budget year)</v>
      </c>
      <c r="C123" s="1117"/>
      <c r="D123" s="1117"/>
      <c r="E123" s="1115"/>
      <c r="F123" s="1115"/>
    </row>
    <row r="124" spans="1:6" x14ac:dyDescent="0.2">
      <c r="A124" s="1198" t="s">
        <v>998</v>
      </c>
      <c r="B124" s="1211" t="str">
        <f>A124&amp;" Service Tariffs by category"</f>
        <v>Supporting Table SA13 Service Tariffs by category</v>
      </c>
      <c r="C124" s="1117"/>
      <c r="D124" s="1117"/>
      <c r="E124" s="1115"/>
      <c r="F124" s="1115"/>
    </row>
    <row r="125" spans="1:6" x14ac:dyDescent="0.2">
      <c r="A125" s="1198" t="s">
        <v>999</v>
      </c>
      <c r="B125" s="1211" t="str">
        <f>A125&amp;" Household bills"</f>
        <v>Supporting Table SA14 Household bills</v>
      </c>
      <c r="C125" s="1117"/>
      <c r="D125" s="1117"/>
      <c r="E125" s="1115"/>
      <c r="F125" s="1115"/>
    </row>
    <row r="126" spans="1:6" x14ac:dyDescent="0.2">
      <c r="A126" s="1198" t="s">
        <v>1000</v>
      </c>
      <c r="B126" s="1199" t="str">
        <f>A126&amp;" Investment particulars by type"</f>
        <v>Supporting Table SA15 Investment particulars by type</v>
      </c>
      <c r="C126" s="1117"/>
      <c r="D126" s="1117"/>
      <c r="E126" s="1115"/>
      <c r="F126" s="1115"/>
    </row>
    <row r="127" spans="1:6" x14ac:dyDescent="0.2">
      <c r="A127" s="1198" t="s">
        <v>1001</v>
      </c>
      <c r="B127" s="1199" t="str">
        <f>A127&amp;" Investment particulars by maturity"</f>
        <v>Supporting Table SA16 Investment particulars by maturity</v>
      </c>
      <c r="C127" s="1117"/>
      <c r="D127" s="1117"/>
      <c r="E127" s="1115"/>
      <c r="F127" s="1115"/>
    </row>
    <row r="128" spans="1:6" x14ac:dyDescent="0.2">
      <c r="A128" s="1198" t="s">
        <v>1002</v>
      </c>
      <c r="B128" s="1199" t="str">
        <f>A128&amp;" Borrowing"</f>
        <v>Supporting Table SA17 Borrowing</v>
      </c>
      <c r="C128" s="1117"/>
      <c r="D128" s="1131"/>
      <c r="E128" s="1115"/>
      <c r="F128" s="1115"/>
    </row>
    <row r="129" spans="1:6" x14ac:dyDescent="0.2">
      <c r="A129" s="1198" t="s">
        <v>1003</v>
      </c>
      <c r="B129" s="1199" t="str">
        <f>A129&amp;" Transfers and grant receipts"</f>
        <v>Supporting Table SA18 Transfers and grant receipts</v>
      </c>
      <c r="C129" s="1117"/>
      <c r="D129" s="1117"/>
      <c r="E129" s="1115"/>
      <c r="F129" s="1115"/>
    </row>
    <row r="130" spans="1:6" x14ac:dyDescent="0.2">
      <c r="A130" s="1198" t="s">
        <v>1004</v>
      </c>
      <c r="B130" s="1199" t="str">
        <f>A130&amp;" Expenditure on transfers and grant programme"</f>
        <v>Supporting Table SA19 Expenditure on transfers and grant programme</v>
      </c>
      <c r="C130" s="1117"/>
      <c r="D130" s="1117"/>
      <c r="E130" s="1115"/>
      <c r="F130" s="1115"/>
    </row>
    <row r="131" spans="1:6" x14ac:dyDescent="0.2">
      <c r="A131" s="1198" t="s">
        <v>1005</v>
      </c>
      <c r="B131" s="1199" t="str">
        <f>A131&amp;" Reconciliation of transfers, grant receipts and unspent funds"</f>
        <v>Supporting Table SA20 Reconciliation of transfers, grant receipts and unspent funds</v>
      </c>
      <c r="C131" s="1117"/>
      <c r="D131" s="1117"/>
      <c r="E131" s="1115"/>
      <c r="F131" s="1115"/>
    </row>
    <row r="132" spans="1:6" x14ac:dyDescent="0.2">
      <c r="A132" s="1198" t="s">
        <v>1006</v>
      </c>
      <c r="B132" s="1199" t="str">
        <f>A132&amp;" Transfers and grants made by the municipality"</f>
        <v>Supporting Table SA21 Transfers and grants made by the municipality</v>
      </c>
      <c r="C132" s="1117"/>
      <c r="D132" s="1117"/>
      <c r="E132" s="1115"/>
      <c r="F132" s="1115"/>
    </row>
    <row r="133" spans="1:6" x14ac:dyDescent="0.2">
      <c r="A133" s="1198" t="s">
        <v>1007</v>
      </c>
      <c r="B133" s="1199" t="str">
        <f>A133&amp;" Summary councillor and staff benefits"</f>
        <v>Supporting Table SA22 Summary councillor and staff benefits</v>
      </c>
      <c r="C133" s="1117"/>
      <c r="D133" s="1131"/>
      <c r="E133" s="1115"/>
      <c r="F133" s="1115"/>
    </row>
    <row r="134" spans="1:6" x14ac:dyDescent="0.2">
      <c r="A134" s="1198" t="s">
        <v>1008</v>
      </c>
      <c r="B134" s="1199" t="str">
        <f>A134&amp;" Salaries, allowances &amp; benefits (political office bearers/councillors/senior managers)"</f>
        <v>Supporting Table SA23 Salaries, allowances &amp; benefits (political office bearers/councillors/senior managers)</v>
      </c>
      <c r="C134" s="1117"/>
      <c r="D134" s="1131"/>
      <c r="E134" s="1115"/>
      <c r="F134" s="1115"/>
    </row>
    <row r="135" spans="1:6" x14ac:dyDescent="0.2">
      <c r="A135" s="1198" t="s">
        <v>1009</v>
      </c>
      <c r="B135" s="1199" t="str">
        <f>A135&amp;" Summary of personnel numbers"</f>
        <v>Supporting Table SA24 Summary of personnel numbers</v>
      </c>
      <c r="C135" s="1117"/>
      <c r="D135" s="1117"/>
      <c r="E135" s="1115"/>
      <c r="F135" s="1115"/>
    </row>
    <row r="136" spans="1:6" x14ac:dyDescent="0.2">
      <c r="A136" s="1198" t="s">
        <v>1010</v>
      </c>
      <c r="B136" s="1211" t="str">
        <f t="shared" ref="B136:B142" si="1">IF(Consolques="YES",E136,F136)</f>
        <v>Supporting Table SA25 Budgeted monthly revenue and expenditure</v>
      </c>
      <c r="C136" s="1117"/>
      <c r="D136" s="1117"/>
      <c r="E136" s="1199" t="str">
        <f>A136&amp;" Consolidated budgeted monthly revenue and expenditure"</f>
        <v>Supporting Table SA25 Consolidated budgeted monthly revenue and expenditure</v>
      </c>
      <c r="F136" s="1199" t="str">
        <f>A136&amp;" Budgeted monthly revenue and expenditure"</f>
        <v>Supporting Table SA25 Budgeted monthly revenue and expenditure</v>
      </c>
    </row>
    <row r="137" spans="1:6" x14ac:dyDescent="0.2">
      <c r="A137" s="1198" t="s">
        <v>1011</v>
      </c>
      <c r="B137" s="1211" t="str">
        <f t="shared" si="1"/>
        <v>Supporting Table SA26 Budgeted monthly revenue and expenditure (municipal vote)</v>
      </c>
      <c r="C137" s="1117"/>
      <c r="D137" s="1117"/>
      <c r="E137" s="1199" t="str">
        <f>A137&amp;" Consolidated budgeted monthly revenue and expenditure (municipal vote)"</f>
        <v>Supporting Table SA26 Consolidated budgeted monthly revenue and expenditure (municipal vote)</v>
      </c>
      <c r="F137" s="1199" t="str">
        <f>A137&amp;" Budgeted monthly revenue and expenditure (municipal vote)"</f>
        <v>Supporting Table SA26 Budgeted monthly revenue and expenditure (municipal vote)</v>
      </c>
    </row>
    <row r="138" spans="1:6" x14ac:dyDescent="0.2">
      <c r="A138" s="1198" t="s">
        <v>1012</v>
      </c>
      <c r="B138" s="1211" t="str">
        <f t="shared" si="1"/>
        <v>Supporting Table SA27 Budgeted monthly revenue and expenditure (standard classification)</v>
      </c>
      <c r="C138" s="1117"/>
      <c r="D138" s="1117"/>
      <c r="E138" s="1199" t="str">
        <f>A138&amp;" Consolidated budgeted monthly revenue and expenditure (standard classification)"</f>
        <v>Supporting Table SA27 Consolidated budgeted monthly revenue and expenditure (standard classification)</v>
      </c>
      <c r="F138" s="1199" t="str">
        <f>A138&amp;" Budgeted monthly revenue and expenditure (standard classification)"</f>
        <v>Supporting Table SA27 Budgeted monthly revenue and expenditure (standard classification)</v>
      </c>
    </row>
    <row r="139" spans="1:6" x14ac:dyDescent="0.2">
      <c r="A139" s="1198" t="s">
        <v>1013</v>
      </c>
      <c r="B139" s="1211" t="str">
        <f t="shared" si="1"/>
        <v>Supporting Table SA28 Budgeted monthly capital expenditure (municipal vote)</v>
      </c>
      <c r="C139" s="1117"/>
      <c r="D139" s="1117"/>
      <c r="E139" s="1199" t="str">
        <f>A139&amp;" Consolidated budgeted monthly capital expenditure (municipal vote)"</f>
        <v>Supporting Table SA28 Consolidated budgeted monthly capital expenditure (municipal vote)</v>
      </c>
      <c r="F139" s="1199" t="str">
        <f>A139&amp;" Budgeted monthly capital expenditure (municipal vote)"</f>
        <v>Supporting Table SA28 Budgeted monthly capital expenditure (municipal vote)</v>
      </c>
    </row>
    <row r="140" spans="1:6" x14ac:dyDescent="0.2">
      <c r="A140" s="1198" t="s">
        <v>1014</v>
      </c>
      <c r="B140" s="1211" t="str">
        <f t="shared" si="1"/>
        <v>Supporting Table SA29 Budgeted monthly capital expenditure (standard classification)</v>
      </c>
      <c r="C140" s="1117"/>
      <c r="D140" s="1117"/>
      <c r="E140" s="1199" t="str">
        <f>A140&amp;" Consolidated budgeted monthly capital expenditure (standard classification)"</f>
        <v>Supporting Table SA29 Consolidated budgeted monthly capital expenditure (standard classification)</v>
      </c>
      <c r="F140" s="1199" t="str">
        <f>A140&amp;" Budgeted monthly capital expenditure (standard classification)"</f>
        <v>Supporting Table SA29 Budgeted monthly capital expenditure (standard classification)</v>
      </c>
    </row>
    <row r="141" spans="1:6" x14ac:dyDescent="0.2">
      <c r="A141" s="1198" t="s">
        <v>1015</v>
      </c>
      <c r="B141" s="1211" t="str">
        <f t="shared" si="1"/>
        <v>Supporting Table SA30 Budgeted monthly cash flow</v>
      </c>
      <c r="C141" s="1117"/>
      <c r="D141" s="1117"/>
      <c r="E141" s="1199" t="str">
        <f>A141&amp;" Consolidated budgeted monthly cash flow"</f>
        <v>Supporting Table SA30 Consolidated budgeted monthly cash flow</v>
      </c>
      <c r="F141" s="1199" t="str">
        <f>A141&amp;" Budgeted monthly cash flow"</f>
        <v>Supporting Table SA30 Budgeted monthly cash flow</v>
      </c>
    </row>
    <row r="142" spans="1:6" x14ac:dyDescent="0.2">
      <c r="A142" s="1198" t="s">
        <v>1016</v>
      </c>
      <c r="B142" s="1199" t="str">
        <f t="shared" si="1"/>
        <v>NOT REQUIRED - municipality does not have entities</v>
      </c>
      <c r="C142" s="1117"/>
      <c r="D142" s="1117"/>
      <c r="E142" s="1199" t="str">
        <f>A142&amp;" Aggregated entity budget"</f>
        <v>Supporting Table SA31 Aggregated entity budget</v>
      </c>
      <c r="F142" s="1199" t="s">
        <v>1032</v>
      </c>
    </row>
    <row r="143" spans="1:6" x14ac:dyDescent="0.2">
      <c r="A143" s="1198" t="s">
        <v>1017</v>
      </c>
      <c r="B143" s="1199" t="str">
        <f>A143&amp;" List of external mechanisms"</f>
        <v>Supporting Table SA32 List of external mechanisms</v>
      </c>
      <c r="C143" s="1117"/>
      <c r="D143" s="1117"/>
      <c r="E143" s="1115"/>
      <c r="F143" s="1115"/>
    </row>
    <row r="144" spans="1:6" x14ac:dyDescent="0.2">
      <c r="A144" s="1198" t="s">
        <v>1018</v>
      </c>
      <c r="B144" s="1199" t="str">
        <f>A144&amp;" Contracts having future budgetary implications"</f>
        <v>Supporting Table SA33 Contracts having future budgetary implications</v>
      </c>
      <c r="C144" s="1117"/>
      <c r="D144" s="1117"/>
      <c r="E144" s="1115"/>
      <c r="F144" s="1115"/>
    </row>
    <row r="145" spans="1:6" x14ac:dyDescent="0.2">
      <c r="A145" s="1198" t="s">
        <v>1669</v>
      </c>
      <c r="B145" s="1199" t="str">
        <f t="shared" ref="B145:B151" si="2">IF(Consolques="YES",E145,F145)</f>
        <v>Supporting Table SA34a Capital expenditure on new assets by asset class</v>
      </c>
      <c r="C145" s="1117"/>
      <c r="D145" s="1117"/>
      <c r="E145" s="1199" t="str">
        <f>A145&amp;" Consolidated capital expenditure on new assets by asset class"</f>
        <v>Supporting Table SA34a Consolidated capital expenditure on new assets by asset class</v>
      </c>
      <c r="F145" s="1199" t="str">
        <f>A145&amp;" Capital expenditure on new assets by asset class"</f>
        <v>Supporting Table SA34a Capital expenditure on new assets by asset class</v>
      </c>
    </row>
    <row r="146" spans="1:6" x14ac:dyDescent="0.2">
      <c r="A146" s="1198" t="s">
        <v>1670</v>
      </c>
      <c r="B146" s="1199" t="str">
        <f t="shared" si="2"/>
        <v>Supporting Table SA34b Capital expenditure on the renewal of existing assets by asset class</v>
      </c>
      <c r="C146" s="1117"/>
      <c r="D146" s="1117"/>
      <c r="E146" s="1199" t="str">
        <f>A146&amp;" Consolidated capital expenditure on existing assets by asset class"</f>
        <v>Supporting Table SA34b Consolidated capital expenditure on existing assets by asset class</v>
      </c>
      <c r="F146" s="1199" t="str">
        <f>A146&amp;" Capital expenditure on the renewal of existing assets by asset class"</f>
        <v>Supporting Table SA34b Capital expenditure on the renewal of existing assets by asset class</v>
      </c>
    </row>
    <row r="147" spans="1:6" x14ac:dyDescent="0.2">
      <c r="A147" s="1198" t="s">
        <v>1671</v>
      </c>
      <c r="B147" s="1199" t="str">
        <f t="shared" si="2"/>
        <v>Supporting Table SA34c Repairs and maintenance expenditure by asset class</v>
      </c>
      <c r="C147" s="1117"/>
      <c r="D147" s="1117"/>
      <c r="E147" s="1199" t="str">
        <f>A147&amp;" Consolidated repairs and maintenance by asset class"</f>
        <v>Supporting Table SA34c Consolidated repairs and maintenance by asset class</v>
      </c>
      <c r="F147" s="1199" t="str">
        <f>A147&amp;" Repairs and maintenance expenditure by asset class"</f>
        <v>Supporting Table SA34c Repairs and maintenance expenditure by asset class</v>
      </c>
    </row>
    <row r="148" spans="1:6" x14ac:dyDescent="0.2">
      <c r="A148" s="1198" t="s">
        <v>2055</v>
      </c>
      <c r="B148" s="1199" t="str">
        <f>IF(Consolques="YES",E148,F148)</f>
        <v>Supporting Table SA34d Depreciation by asset class</v>
      </c>
      <c r="C148" s="1117"/>
      <c r="D148" s="1117"/>
      <c r="E148" s="1199" t="str">
        <f>A148&amp;" Consolidated Depreciation by asset class"</f>
        <v>Supporting Table SA34d Consolidated Depreciation by asset class</v>
      </c>
      <c r="F148" s="1199" t="str">
        <f>A148&amp;" Depreciation by asset class"</f>
        <v>Supporting Table SA34d Depreciation by asset class</v>
      </c>
    </row>
    <row r="149" spans="1:6" x14ac:dyDescent="0.2">
      <c r="A149" s="1198" t="s">
        <v>1019</v>
      </c>
      <c r="B149" s="1199" t="str">
        <f t="shared" si="2"/>
        <v>Supporting Table SA35 Future financial implications of the capital budget</v>
      </c>
      <c r="C149" s="1117"/>
      <c r="D149" s="1117"/>
      <c r="E149" s="1199" t="str">
        <f>A149&amp;" Consolidated future financial implications of the capital budget"</f>
        <v>Supporting Table SA35 Consolidated future financial implications of the capital budget</v>
      </c>
      <c r="F149" s="1199" t="str">
        <f>A149&amp; " Future financial implications of the capital budget"</f>
        <v>Supporting Table SA35 Future financial implications of the capital budget</v>
      </c>
    </row>
    <row r="150" spans="1:6" x14ac:dyDescent="0.2">
      <c r="A150" s="1198" t="s">
        <v>1020</v>
      </c>
      <c r="B150" s="1199" t="str">
        <f t="shared" si="2"/>
        <v>Supporting Table SA36 Detailed capital budget</v>
      </c>
      <c r="C150" s="1117"/>
      <c r="D150" s="1117"/>
      <c r="E150" s="1199" t="str">
        <f>A150&amp;" Consolidated detailed capital budget"</f>
        <v>Supporting Table SA36 Consolidated detailed capital budget</v>
      </c>
      <c r="F150" s="1199" t="str">
        <f>A150&amp; " Detailed capital budget"</f>
        <v>Supporting Table SA36 Detailed capital budget</v>
      </c>
    </row>
    <row r="151" spans="1:6" x14ac:dyDescent="0.2">
      <c r="A151" s="1198" t="s">
        <v>1021</v>
      </c>
      <c r="B151" s="1213" t="str">
        <f t="shared" si="2"/>
        <v>Supporting Table SA37 Projects delayed from previous financial year/s</v>
      </c>
      <c r="C151" s="1123"/>
      <c r="D151" s="1114"/>
      <c r="E151" s="1199" t="str">
        <f>A151&amp;" Consolidated projects delayed from previous financial year/s"</f>
        <v>Supporting Table SA37 Consolidated projects delayed from previous financial year/s</v>
      </c>
      <c r="F151" s="1199" t="str">
        <f>A151&amp; " Projects delayed from previous financial year/s"</f>
        <v>Supporting Table SA37 Projects delayed from previous financial year/s</v>
      </c>
    </row>
    <row r="152" spans="1:6" x14ac:dyDescent="0.2">
      <c r="A152" s="1221"/>
      <c r="B152" s="1213"/>
      <c r="C152" s="1123"/>
      <c r="D152" s="1114"/>
      <c r="E152" s="1199"/>
      <c r="F152" s="1199"/>
    </row>
    <row r="153" spans="1:6" x14ac:dyDescent="0.2">
      <c r="A153" s="1218" t="s">
        <v>1077</v>
      </c>
      <c r="B153" s="1219" t="s">
        <v>1362</v>
      </c>
      <c r="C153" s="1220" t="s">
        <v>1103</v>
      </c>
      <c r="D153" s="1120"/>
    </row>
    <row r="154" spans="1:6" x14ac:dyDescent="0.2">
      <c r="A154" s="1221" t="s">
        <v>1845</v>
      </c>
      <c r="B154" s="1222" t="str">
        <f>A154&amp;"Revenue by Municipal Vote"</f>
        <v>Chart A1 Revenue by Municipal Vote</v>
      </c>
      <c r="C154" s="1130"/>
      <c r="D154" s="1132"/>
    </row>
    <row r="155" spans="1:6" x14ac:dyDescent="0.2">
      <c r="A155" s="1221" t="s">
        <v>1846</v>
      </c>
      <c r="B155" s="1223" t="str">
        <f>A155&amp;"Expenditure by Municipal Vote"</f>
        <v>Chart A2 Expenditure by Municipal Vote</v>
      </c>
      <c r="C155" s="1117"/>
      <c r="D155" s="1125"/>
    </row>
    <row r="156" spans="1:6" x14ac:dyDescent="0.2">
      <c r="A156" s="1221" t="s">
        <v>1847</v>
      </c>
      <c r="B156" s="1223" t="str">
        <f>A156&amp;"Revenue by Standard Classification"</f>
        <v>Chart A3 Revenue by Standard Classification</v>
      </c>
      <c r="C156" s="1200" t="s">
        <v>1102</v>
      </c>
      <c r="D156" s="1115"/>
    </row>
    <row r="157" spans="1:6" x14ac:dyDescent="0.2">
      <c r="A157" s="1221" t="s">
        <v>1848</v>
      </c>
      <c r="B157" s="1223" t="str">
        <f>A157&amp;"Expenditure by Standard Classification"</f>
        <v>Chart A4 Expenditure by Standard Classification</v>
      </c>
      <c r="C157" s="1200" t="s">
        <v>1102</v>
      </c>
      <c r="D157" s="1115"/>
    </row>
    <row r="158" spans="1:6" x14ac:dyDescent="0.2">
      <c r="A158" s="1221" t="s">
        <v>1849</v>
      </c>
      <c r="B158" s="1223" t="str">
        <f>A158&amp;"Revenue by Major Source (refer 'Minor' source for 'Other Revenue' allocation"</f>
        <v>Chart A5 Revenue by Major Source (refer 'Minor' source for 'Other Revenue' allocation</v>
      </c>
      <c r="C158" s="1200" t="s">
        <v>1104</v>
      </c>
      <c r="D158" s="1115"/>
    </row>
    <row r="159" spans="1:6" x14ac:dyDescent="0.2">
      <c r="A159" s="1221" t="s">
        <v>1850</v>
      </c>
      <c r="B159" s="1223" t="str">
        <f>A159&amp;"Revenue by Minor Source (Other)"</f>
        <v>Chart A6 Revenue by Minor Source (Other)</v>
      </c>
      <c r="C159" s="1200" t="s">
        <v>1104</v>
      </c>
      <c r="D159" s="1115"/>
    </row>
    <row r="160" spans="1:6" x14ac:dyDescent="0.2">
      <c r="A160" s="1221" t="s">
        <v>1851</v>
      </c>
      <c r="B160" s="1223" t="str">
        <f>A160&amp;"Expenditure by Major Type"</f>
        <v>Chart A7 Expenditure by Major Type</v>
      </c>
      <c r="C160" s="1200" t="s">
        <v>1104</v>
      </c>
      <c r="D160" s="1115"/>
    </row>
    <row r="161" spans="1:4" x14ac:dyDescent="0.2">
      <c r="A161" s="1221" t="s">
        <v>1852</v>
      </c>
      <c r="B161" s="1223" t="str">
        <f>A161&amp;"Expenditure by Minor Type (Other)"</f>
        <v>Chart A8 Expenditure by Minor Type (Other)</v>
      </c>
      <c r="C161" s="1200" t="s">
        <v>1104</v>
      </c>
      <c r="D161" s="1115"/>
    </row>
    <row r="162" spans="1:4" x14ac:dyDescent="0.2">
      <c r="A162" s="1221" t="s">
        <v>1853</v>
      </c>
      <c r="B162" s="1223" t="str">
        <f>A162&amp;"Capital Expenditure by Municipal Vote/Appropriation (Major)"</f>
        <v>Chart A9 Capital Expenditure by Municipal Vote/Appropriation (Major)</v>
      </c>
      <c r="C162" s="1200" t="s">
        <v>1105</v>
      </c>
      <c r="D162" s="1115"/>
    </row>
    <row r="163" spans="1:4" x14ac:dyDescent="0.2">
      <c r="A163" s="1221" t="s">
        <v>1854</v>
      </c>
      <c r="B163" s="1223" t="str">
        <f>A163&amp;"Capital Expenditure by Municipal Vote/Appropriation (Minor)"</f>
        <v>Chart A10 Capital Expenditure by Municipal Vote/Appropriation (Minor)</v>
      </c>
      <c r="C163" s="1200" t="s">
        <v>1105</v>
      </c>
      <c r="D163" s="1115"/>
    </row>
    <row r="164" spans="1:4" x14ac:dyDescent="0.2">
      <c r="A164" s="1221" t="s">
        <v>1855</v>
      </c>
      <c r="B164" s="1223" t="str">
        <f>A163&amp;"Capital Expenditure by Standard Classification"</f>
        <v>Chart A10 Capital Expenditure by Standard Classification</v>
      </c>
      <c r="C164" s="1200" t="s">
        <v>1105</v>
      </c>
      <c r="D164" s="1115"/>
    </row>
    <row r="165" spans="1:4" x14ac:dyDescent="0.2">
      <c r="A165" s="1221" t="s">
        <v>1856</v>
      </c>
      <c r="B165" s="1223" t="str">
        <f>A165&amp;"Capital expenditure performance trend"</f>
        <v>Chart A12 Capital expenditure performance trend</v>
      </c>
      <c r="C165" s="1200" t="s">
        <v>1105</v>
      </c>
      <c r="D165" s="1115"/>
    </row>
    <row r="166" spans="1:4" x14ac:dyDescent="0.2">
      <c r="A166" s="1221" t="s">
        <v>1857</v>
      </c>
      <c r="B166" s="1223" t="str">
        <f>A166&amp;"Capital funding by Source"</f>
        <v>Chart A13 Capital funding by Source</v>
      </c>
      <c r="C166" s="1200" t="s">
        <v>1105</v>
      </c>
      <c r="D166" s="1115"/>
    </row>
    <row r="167" spans="1:4" x14ac:dyDescent="0.2">
      <c r="A167" s="1221" t="s">
        <v>1858</v>
      </c>
      <c r="B167" s="1223" t="str">
        <f>A167&amp;"Cash flow trend"</f>
        <v>Chart A14 Cash flow trend</v>
      </c>
      <c r="C167" s="1200" t="s">
        <v>1106</v>
      </c>
      <c r="D167" s="1115"/>
    </row>
    <row r="168" spans="1:4" x14ac:dyDescent="0.2">
      <c r="A168" s="1221" t="s">
        <v>1859</v>
      </c>
      <c r="B168" s="1223" t="str">
        <f>A168&amp;"IDP Strategic Objective - Revenue"</f>
        <v>Chart A15 IDP Strategic Objective - Revenue</v>
      </c>
      <c r="C168" s="1200" t="s">
        <v>314</v>
      </c>
      <c r="D168" s="1115"/>
    </row>
    <row r="169" spans="1:4" x14ac:dyDescent="0.2">
      <c r="A169" s="1221" t="s">
        <v>1860</v>
      </c>
      <c r="B169" s="1223" t="str">
        <f>A169&amp;"IDP Strategic Objective - Expenditure"</f>
        <v>Chart A16 IDP Strategic Objective - Expenditure</v>
      </c>
      <c r="C169" s="1200" t="s">
        <v>315</v>
      </c>
      <c r="D169" s="1115"/>
    </row>
    <row r="170" spans="1:4" x14ac:dyDescent="0.2">
      <c r="A170" s="1221" t="s">
        <v>1861</v>
      </c>
      <c r="B170" s="1223" t="str">
        <f>A170&amp;"IDP Strategic Objective - Capital Expenditure"</f>
        <v>Chart A17 IDP Strategic Objective - Capital Expenditure</v>
      </c>
      <c r="C170" s="1200" t="s">
        <v>316</v>
      </c>
    </row>
    <row r="171" spans="1:4" x14ac:dyDescent="0.2">
      <c r="A171" s="1221" t="s">
        <v>1862</v>
      </c>
      <c r="B171" s="1223" t="str">
        <f>A171&amp;"Debt (borrowing to Total Revenue)"</f>
        <v>Chart A18 Debt (borrowing to Total Revenue)</v>
      </c>
      <c r="C171" s="1200" t="s">
        <v>317</v>
      </c>
    </row>
    <row r="172" spans="1:4" x14ac:dyDescent="0.2">
      <c r="A172" s="1221" t="s">
        <v>1863</v>
      </c>
      <c r="B172" s="1223" t="str">
        <f>A172&amp;"Debtors' trend analysis"</f>
        <v>Chart A19 Debtors' trend analysis</v>
      </c>
      <c r="C172" s="1200" t="s">
        <v>317</v>
      </c>
    </row>
    <row r="173" spans="1:4" x14ac:dyDescent="0.2">
      <c r="A173" s="1221" t="s">
        <v>1864</v>
      </c>
      <c r="B173" s="1223" t="str">
        <f>A173&amp;"Distribution losses"</f>
        <v>Chart A20 Distribution losses</v>
      </c>
      <c r="C173" s="1200" t="s">
        <v>317</v>
      </c>
    </row>
    <row r="174" spans="1:4" x14ac:dyDescent="0.2">
      <c r="A174" s="1221" t="s">
        <v>1865</v>
      </c>
      <c r="B174" s="1223" t="str">
        <f>A174&amp;"Borrowed funding of capital expenditure"</f>
        <v>Chart A21 Borrowed funding of capital expenditure</v>
      </c>
      <c r="C174" s="1200" t="s">
        <v>317</v>
      </c>
    </row>
    <row r="175" spans="1:4" x14ac:dyDescent="0.2">
      <c r="A175" s="1221" t="s">
        <v>1866</v>
      </c>
      <c r="B175" s="1223" t="str">
        <f>A175&amp;"Expenditure analysis (% of Revenue)"</f>
        <v>Chart A22 Expenditure analysis (% of Revenue)</v>
      </c>
      <c r="C175" s="1200" t="s">
        <v>317</v>
      </c>
    </row>
    <row r="176" spans="1:4" x14ac:dyDescent="0.2">
      <c r="A176" s="1214" t="s">
        <v>1867</v>
      </c>
      <c r="B176" s="1224" t="str">
        <f>A176&amp;"Increases in service charges"</f>
        <v>Chart A23 Increases in service charges</v>
      </c>
      <c r="C176" s="1225" t="s">
        <v>636</v>
      </c>
    </row>
    <row r="177" spans="1:5" x14ac:dyDescent="0.2">
      <c r="A177" s="1112"/>
    </row>
    <row r="178" spans="1:5" x14ac:dyDescent="0.2">
      <c r="A178" s="1112"/>
    </row>
    <row r="179" spans="1:5" x14ac:dyDescent="0.2">
      <c r="A179" s="1112"/>
    </row>
    <row r="180" spans="1:5" x14ac:dyDescent="0.2">
      <c r="D180" s="1125"/>
      <c r="E180" s="1115"/>
    </row>
  </sheetData>
  <mergeCells count="5">
    <mergeCell ref="A1:D1"/>
    <mergeCell ref="A87:B87"/>
    <mergeCell ref="A110:B110"/>
    <mergeCell ref="A99:B99"/>
    <mergeCell ref="A92:D92"/>
  </mergeCells>
  <phoneticPr fontId="4" type="noConversion"/>
  <printOptions horizontalCentered="1" verticalCentered="1"/>
  <pageMargins left="0.39370078740157483" right="0.15748031496062992" top="0.51181102362204722" bottom="0.55118110236220474" header="0.51181102362204722" footer="0.39370078740157483"/>
  <pageSetup paperSize="9" scale="3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6" r:id="rId4" name="Button 10">
              <controlPr defaultSize="0" print="0" autoFill="0" autoPict="0" macro="[0]!SaveForUsers">
                <anchor moveWithCells="1" sizeWithCells="1">
                  <from>
                    <xdr:col>4</xdr:col>
                    <xdr:colOff>285750</xdr:colOff>
                    <xdr:row>2</xdr:row>
                    <xdr:rowOff>9525</xdr:rowOff>
                  </from>
                  <to>
                    <xdr:col>4</xdr:col>
                    <xdr:colOff>1990725</xdr:colOff>
                    <xdr:row>4</xdr:row>
                    <xdr:rowOff>9525</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enableFormatConditionsCalculation="0">
    <tabColor indexed="42"/>
    <pageSetUpPr fitToPage="1"/>
  </sheetPr>
  <dimension ref="A1:L112"/>
  <sheetViews>
    <sheetView showGridLines="0" tabSelected="1" workbookViewId="0">
      <pane xSplit="2" ySplit="4" topLeftCell="C5"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11" width="9.28515625" style="14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x14ac:dyDescent="0.25">
      <c r="A1" s="146" t="str">
        <f>muni&amp;" - "&amp;TableA11</f>
        <v>NC071 Ubuntu - Supporting Table SA11 Property rates summary</v>
      </c>
      <c r="B1" s="146"/>
      <c r="C1" s="146"/>
      <c r="D1" s="146"/>
      <c r="E1" s="146"/>
      <c r="F1" s="146"/>
      <c r="G1" s="146"/>
      <c r="H1" s="146"/>
      <c r="I1" s="146"/>
      <c r="J1" s="146"/>
      <c r="K1" s="146"/>
    </row>
    <row r="2" spans="1:11" ht="28.5" customHeight="1" x14ac:dyDescent="0.25">
      <c r="A2" s="2752" t="str">
        <f>desc</f>
        <v>Description</v>
      </c>
      <c r="B2" s="2729" t="str">
        <f>head27</f>
        <v>Ref</v>
      </c>
      <c r="C2" s="144" t="str">
        <f>head1b</f>
        <v>2008/9</v>
      </c>
      <c r="D2" s="149" t="str">
        <f>head1A</f>
        <v>2009/10</v>
      </c>
      <c r="E2" s="145" t="str">
        <f>Head1</f>
        <v>2010/11</v>
      </c>
      <c r="F2" s="2700" t="str">
        <f>Head2</f>
        <v>Current Year 2011/12</v>
      </c>
      <c r="G2" s="2701"/>
      <c r="H2" s="2705"/>
      <c r="I2" s="2697" t="str">
        <f>Head3</f>
        <v>2012/13 Medium Term Revenue &amp; Expenditure Framework</v>
      </c>
      <c r="J2" s="2698"/>
      <c r="K2" s="2699"/>
    </row>
    <row r="3" spans="1:11" ht="25.5" x14ac:dyDescent="0.25">
      <c r="A3" s="2753"/>
      <c r="B3" s="2730"/>
      <c r="C3" s="153" t="str">
        <f>Head5</f>
        <v>Audited Outcome</v>
      </c>
      <c r="D3" s="151" t="str">
        <f>Head5</f>
        <v>Audited Outcome</v>
      </c>
      <c r="E3" s="152" t="str">
        <f>Head5</f>
        <v>Audited Outcome</v>
      </c>
      <c r="F3" s="150" t="str">
        <f>Head6</f>
        <v>Original Budget</v>
      </c>
      <c r="G3" s="151" t="str">
        <f>Head7</f>
        <v>Adjusted Budget</v>
      </c>
      <c r="H3" s="152" t="str">
        <f>Head8</f>
        <v>Full Year Forecast</v>
      </c>
      <c r="I3" s="150" t="str">
        <f>Head9</f>
        <v>Budget Year 2012/13</v>
      </c>
      <c r="J3" s="151" t="str">
        <f>Head10</f>
        <v>Budget Year +1 2013/14</v>
      </c>
      <c r="K3" s="152" t="str">
        <f>Head11</f>
        <v>Budget Year +2 2014/15</v>
      </c>
    </row>
    <row r="4" spans="1:11" ht="4.5" customHeight="1" x14ac:dyDescent="0.25">
      <c r="A4" s="179"/>
      <c r="B4" s="2735"/>
      <c r="C4" s="156"/>
      <c r="D4" s="138"/>
      <c r="E4" s="155"/>
      <c r="F4" s="154"/>
      <c r="G4" s="138"/>
      <c r="H4" s="155"/>
      <c r="I4" s="154"/>
      <c r="J4" s="138"/>
      <c r="K4" s="155"/>
    </row>
    <row r="5" spans="1:11" ht="11.25" customHeight="1" x14ac:dyDescent="0.25">
      <c r="A5" s="180" t="s">
        <v>759</v>
      </c>
      <c r="B5" s="509">
        <v>1</v>
      </c>
      <c r="C5" s="510"/>
      <c r="D5" s="510"/>
      <c r="E5" s="219"/>
      <c r="F5" s="511"/>
      <c r="G5" s="1564"/>
      <c r="H5" s="1565"/>
      <c r="I5" s="1566"/>
      <c r="J5" s="1564"/>
      <c r="K5" s="1567"/>
    </row>
    <row r="6" spans="1:11" ht="11.25" customHeight="1" x14ac:dyDescent="0.25">
      <c r="A6" s="189" t="s">
        <v>758</v>
      </c>
      <c r="B6" s="473"/>
      <c r="C6" s="1387" t="s">
        <v>2406</v>
      </c>
      <c r="D6" s="1387"/>
      <c r="E6" s="1388"/>
      <c r="F6" s="1389"/>
      <c r="G6" s="1568"/>
      <c r="H6" s="1569"/>
      <c r="I6" s="1570"/>
      <c r="J6" s="1568"/>
      <c r="K6" s="1571"/>
    </row>
    <row r="7" spans="1:11" ht="11.25" customHeight="1" x14ac:dyDescent="0.25">
      <c r="A7" s="189" t="s">
        <v>661</v>
      </c>
      <c r="B7" s="473"/>
      <c r="C7" s="1390" t="s">
        <v>2407</v>
      </c>
      <c r="D7" s="1390"/>
      <c r="E7" s="1391"/>
      <c r="F7" s="1392"/>
      <c r="G7" s="1572"/>
      <c r="H7" s="1573"/>
      <c r="I7" s="1375"/>
      <c r="J7" s="1576"/>
      <c r="K7" s="1577"/>
    </row>
    <row r="8" spans="1:11" ht="11.25" customHeight="1" x14ac:dyDescent="0.25">
      <c r="A8" s="189" t="s">
        <v>412</v>
      </c>
      <c r="B8" s="513" t="s">
        <v>781</v>
      </c>
      <c r="C8" s="1377" t="s">
        <v>428</v>
      </c>
      <c r="D8" s="1377"/>
      <c r="E8" s="1379"/>
      <c r="F8" s="1393"/>
      <c r="G8" s="1574"/>
      <c r="H8" s="1575"/>
      <c r="I8" s="1376"/>
      <c r="J8" s="1576"/>
      <c r="K8" s="1577"/>
    </row>
    <row r="9" spans="1:11" ht="11.25" customHeight="1" x14ac:dyDescent="0.25">
      <c r="A9" s="189" t="s">
        <v>1272</v>
      </c>
      <c r="B9" s="473"/>
      <c r="C9" s="1377" t="s">
        <v>428</v>
      </c>
      <c r="D9" s="1377"/>
      <c r="E9" s="1379"/>
      <c r="F9" s="1393"/>
      <c r="G9" s="1558"/>
      <c r="H9" s="1559"/>
      <c r="I9" s="1376"/>
      <c r="J9" s="1560"/>
      <c r="K9" s="1561"/>
    </row>
    <row r="10" spans="1:11" ht="11.25" customHeight="1" x14ac:dyDescent="0.25">
      <c r="A10" s="189" t="s">
        <v>760</v>
      </c>
      <c r="B10" s="473"/>
      <c r="C10" s="1377" t="s">
        <v>829</v>
      </c>
      <c r="D10" s="1377"/>
      <c r="E10" s="1379"/>
      <c r="F10" s="1393"/>
      <c r="G10" s="1377"/>
      <c r="H10" s="1378"/>
      <c r="I10" s="1376"/>
      <c r="J10" s="1377"/>
      <c r="K10" s="1379"/>
    </row>
    <row r="11" spans="1:11" ht="11.25" customHeight="1" x14ac:dyDescent="0.25">
      <c r="A11" s="189" t="s">
        <v>1273</v>
      </c>
      <c r="B11" s="513">
        <v>3</v>
      </c>
      <c r="C11" s="1380">
        <v>0</v>
      </c>
      <c r="D11" s="1394"/>
      <c r="E11" s="1395"/>
      <c r="F11" s="1396"/>
      <c r="G11" s="1380"/>
      <c r="H11" s="1381"/>
      <c r="I11" s="1382"/>
      <c r="J11" s="1380"/>
      <c r="K11" s="1383"/>
    </row>
    <row r="12" spans="1:11" ht="11.25" customHeight="1" x14ac:dyDescent="0.25">
      <c r="A12" s="302" t="s">
        <v>1274</v>
      </c>
      <c r="B12" s="481">
        <v>3</v>
      </c>
      <c r="C12" s="1384">
        <v>5</v>
      </c>
      <c r="D12" s="1397"/>
      <c r="E12" s="1398"/>
      <c r="F12" s="1396"/>
      <c r="G12" s="1384"/>
      <c r="H12" s="1385"/>
      <c r="I12" s="1382"/>
      <c r="J12" s="1384"/>
      <c r="K12" s="1386"/>
    </row>
    <row r="13" spans="1:11" ht="11.25" customHeight="1" x14ac:dyDescent="0.25">
      <c r="A13" s="302" t="s">
        <v>1275</v>
      </c>
      <c r="B13" s="481">
        <v>3</v>
      </c>
      <c r="C13" s="1384">
        <v>3</v>
      </c>
      <c r="D13" s="1397"/>
      <c r="E13" s="1398"/>
      <c r="F13" s="1396"/>
      <c r="G13" s="1384"/>
      <c r="H13" s="1385"/>
      <c r="I13" s="1382"/>
      <c r="J13" s="1384"/>
      <c r="K13" s="1386"/>
    </row>
    <row r="14" spans="1:11" ht="11.25" customHeight="1" x14ac:dyDescent="0.25">
      <c r="A14" s="302" t="s">
        <v>1276</v>
      </c>
      <c r="B14" s="481">
        <v>3</v>
      </c>
      <c r="C14" s="1384">
        <v>0</v>
      </c>
      <c r="D14" s="1397"/>
      <c r="E14" s="1398"/>
      <c r="F14" s="1396"/>
      <c r="G14" s="1384"/>
      <c r="H14" s="1385"/>
      <c r="I14" s="1382"/>
      <c r="J14" s="1384"/>
      <c r="K14" s="1386"/>
    </row>
    <row r="15" spans="1:11" ht="11.25" customHeight="1" x14ac:dyDescent="0.25">
      <c r="A15" s="302" t="s">
        <v>1592</v>
      </c>
      <c r="B15" s="514">
        <v>4</v>
      </c>
      <c r="C15" s="1384">
        <v>0</v>
      </c>
      <c r="D15" s="1397"/>
      <c r="E15" s="1398"/>
      <c r="F15" s="1396"/>
      <c r="G15" s="1384"/>
      <c r="H15" s="1385"/>
      <c r="I15" s="1382"/>
      <c r="J15" s="1384"/>
      <c r="K15" s="1386"/>
    </row>
    <row r="16" spans="1:11" ht="11.25" customHeight="1" x14ac:dyDescent="0.25">
      <c r="A16" s="189" t="s">
        <v>662</v>
      </c>
      <c r="B16" s="473"/>
      <c r="C16" s="1377" t="s">
        <v>829</v>
      </c>
      <c r="D16" s="1377"/>
      <c r="E16" s="1379"/>
      <c r="F16" s="1393"/>
      <c r="G16" s="1558"/>
      <c r="H16" s="1559"/>
      <c r="I16" s="1376"/>
      <c r="J16" s="1560"/>
      <c r="K16" s="1561"/>
    </row>
    <row r="17" spans="1:11" ht="11.25" customHeight="1" x14ac:dyDescent="0.25">
      <c r="A17" s="189" t="s">
        <v>410</v>
      </c>
      <c r="B17" s="473"/>
      <c r="C17" s="1384"/>
      <c r="D17" s="1397"/>
      <c r="E17" s="1398"/>
      <c r="F17" s="1396"/>
      <c r="G17" s="1558"/>
      <c r="H17" s="1559"/>
      <c r="I17" s="1382"/>
      <c r="J17" s="1562"/>
      <c r="K17" s="1563"/>
    </row>
    <row r="18" spans="1:11" ht="11.25" customHeight="1" x14ac:dyDescent="0.25">
      <c r="A18" s="189" t="s">
        <v>413</v>
      </c>
      <c r="B18" s="513">
        <v>5</v>
      </c>
      <c r="C18" s="1397"/>
      <c r="D18" s="1397"/>
      <c r="E18" s="1398"/>
      <c r="F18" s="1396">
        <v>4869</v>
      </c>
      <c r="G18" s="1397"/>
      <c r="H18" s="1402"/>
      <c r="I18" s="1382"/>
      <c r="J18" s="1384"/>
      <c r="K18" s="1386"/>
    </row>
    <row r="19" spans="1:11" ht="11.25" customHeight="1" x14ac:dyDescent="0.25">
      <c r="A19" s="189" t="s">
        <v>414</v>
      </c>
      <c r="B19" s="513">
        <v>5</v>
      </c>
      <c r="C19" s="1397"/>
      <c r="D19" s="1397"/>
      <c r="E19" s="1398"/>
      <c r="F19" s="1396"/>
      <c r="G19" s="1397"/>
      <c r="H19" s="1402"/>
      <c r="I19" s="1382"/>
      <c r="J19" s="1384"/>
      <c r="K19" s="1386"/>
    </row>
    <row r="20" spans="1:11" ht="11.25" customHeight="1" x14ac:dyDescent="0.25">
      <c r="A20" s="189" t="s">
        <v>415</v>
      </c>
      <c r="B20" s="513"/>
      <c r="C20" s="1397"/>
      <c r="D20" s="1397"/>
      <c r="E20" s="1398"/>
      <c r="F20" s="1396"/>
      <c r="G20" s="1397"/>
      <c r="H20" s="1402"/>
      <c r="I20" s="1382"/>
      <c r="J20" s="1384"/>
      <c r="K20" s="1386"/>
    </row>
    <row r="21" spans="1:11" ht="11.25" customHeight="1" x14ac:dyDescent="0.25">
      <c r="A21" s="189" t="s">
        <v>750</v>
      </c>
      <c r="B21" s="473"/>
      <c r="C21" s="1384"/>
      <c r="D21" s="1397"/>
      <c r="E21" s="1398"/>
      <c r="F21" s="1396"/>
      <c r="G21" s="1397"/>
      <c r="H21" s="1402"/>
      <c r="I21" s="1382"/>
      <c r="J21" s="1384"/>
      <c r="K21" s="1386"/>
    </row>
    <row r="22" spans="1:11" ht="11.25" customHeight="1" x14ac:dyDescent="0.25">
      <c r="A22" s="189" t="s">
        <v>751</v>
      </c>
      <c r="B22" s="473"/>
      <c r="C22" s="1384"/>
      <c r="D22" s="1397"/>
      <c r="E22" s="1398"/>
      <c r="F22" s="1396"/>
      <c r="G22" s="1384"/>
      <c r="H22" s="1385"/>
      <c r="I22" s="1382"/>
      <c r="J22" s="1384"/>
      <c r="K22" s="1386"/>
    </row>
    <row r="23" spans="1:11" ht="11.25" customHeight="1" x14ac:dyDescent="0.25">
      <c r="A23" s="189" t="s">
        <v>371</v>
      </c>
      <c r="B23" s="473"/>
      <c r="C23" s="1384">
        <v>47</v>
      </c>
      <c r="D23" s="1397"/>
      <c r="E23" s="1398"/>
      <c r="F23" s="1396"/>
      <c r="G23" s="1384"/>
      <c r="H23" s="1385"/>
      <c r="I23" s="1382"/>
      <c r="J23" s="1384"/>
      <c r="K23" s="1386"/>
    </row>
    <row r="24" spans="1:11" ht="11.25" customHeight="1" x14ac:dyDescent="0.25">
      <c r="A24" s="189" t="s">
        <v>372</v>
      </c>
      <c r="B24" s="473"/>
      <c r="C24" s="1384">
        <v>16</v>
      </c>
      <c r="D24" s="1397"/>
      <c r="E24" s="1398"/>
      <c r="F24" s="1396"/>
      <c r="G24" s="1384"/>
      <c r="H24" s="1385"/>
      <c r="I24" s="1382"/>
      <c r="J24" s="1384"/>
      <c r="K24" s="1386"/>
    </row>
    <row r="25" spans="1:11" ht="11.25" customHeight="1" x14ac:dyDescent="0.25">
      <c r="A25" s="189" t="s">
        <v>761</v>
      </c>
      <c r="B25" s="473">
        <v>8</v>
      </c>
      <c r="C25" s="1384">
        <v>47</v>
      </c>
      <c r="D25" s="1397"/>
      <c r="E25" s="1398"/>
      <c r="F25" s="1396"/>
      <c r="G25" s="1384"/>
      <c r="H25" s="1385"/>
      <c r="I25" s="1382"/>
      <c r="J25" s="1384"/>
      <c r="K25" s="1386"/>
    </row>
    <row r="26" spans="1:11" ht="11.25" customHeight="1" x14ac:dyDescent="0.25">
      <c r="A26" s="189" t="s">
        <v>749</v>
      </c>
      <c r="B26" s="473">
        <v>8</v>
      </c>
      <c r="C26" s="1384">
        <v>16</v>
      </c>
      <c r="D26" s="1397"/>
      <c r="E26" s="1398"/>
      <c r="F26" s="1396"/>
      <c r="G26" s="1384"/>
      <c r="H26" s="1385"/>
      <c r="I26" s="1382"/>
      <c r="J26" s="1384"/>
      <c r="K26" s="1386"/>
    </row>
    <row r="27" spans="1:11" ht="11.25" customHeight="1" x14ac:dyDescent="0.25">
      <c r="A27" s="189" t="s">
        <v>1546</v>
      </c>
      <c r="B27" s="473"/>
      <c r="C27" s="1397"/>
      <c r="D27" s="1397"/>
      <c r="E27" s="1398"/>
      <c r="F27" s="1396"/>
      <c r="G27" s="1397"/>
      <c r="H27" s="1402"/>
      <c r="I27" s="1382"/>
      <c r="J27" s="1384"/>
      <c r="K27" s="1386"/>
    </row>
    <row r="28" spans="1:11" ht="11.25" customHeight="1" x14ac:dyDescent="0.25">
      <c r="A28" s="189" t="s">
        <v>524</v>
      </c>
      <c r="B28" s="513">
        <v>5</v>
      </c>
      <c r="C28" s="1399"/>
      <c r="D28" s="1399"/>
      <c r="E28" s="1400"/>
      <c r="F28" s="1401"/>
      <c r="G28" s="1399"/>
      <c r="H28" s="1403"/>
      <c r="I28" s="1404"/>
      <c r="J28" s="1405"/>
      <c r="K28" s="1406"/>
    </row>
    <row r="29" spans="1:11" ht="11.25" customHeight="1" x14ac:dyDescent="0.25">
      <c r="A29" s="189" t="s">
        <v>1408</v>
      </c>
      <c r="B29" s="513"/>
      <c r="C29" s="1399"/>
      <c r="D29" s="1399"/>
      <c r="E29" s="1400"/>
      <c r="F29" s="1401"/>
      <c r="G29" s="1399"/>
      <c r="H29" s="1403"/>
      <c r="I29" s="1404"/>
      <c r="J29" s="1405"/>
      <c r="K29" s="1406"/>
    </row>
    <row r="30" spans="1:11" ht="11.25" customHeight="1" x14ac:dyDescent="0.25">
      <c r="A30" s="180" t="s">
        <v>1547</v>
      </c>
      <c r="B30" s="513"/>
      <c r="C30" s="515"/>
      <c r="D30" s="515"/>
      <c r="E30" s="516"/>
      <c r="F30" s="517"/>
      <c r="G30" s="515"/>
      <c r="H30" s="518"/>
      <c r="I30" s="519"/>
      <c r="J30" s="456"/>
      <c r="K30" s="206"/>
    </row>
    <row r="31" spans="1:11" ht="11.25" customHeight="1" x14ac:dyDescent="0.25">
      <c r="A31" s="189" t="s">
        <v>525</v>
      </c>
      <c r="B31" s="513"/>
      <c r="C31" s="1399"/>
      <c r="D31" s="1399"/>
      <c r="E31" s="1400"/>
      <c r="F31" s="1401"/>
      <c r="G31" s="1399"/>
      <c r="H31" s="1403"/>
      <c r="I31" s="1404"/>
      <c r="J31" s="1405"/>
      <c r="K31" s="1406"/>
    </row>
    <row r="32" spans="1:11" ht="11.25" customHeight="1" x14ac:dyDescent="0.25">
      <c r="A32" s="189" t="s">
        <v>526</v>
      </c>
      <c r="B32" s="513"/>
      <c r="C32" s="1399"/>
      <c r="D32" s="1399"/>
      <c r="E32" s="1400"/>
      <c r="F32" s="1401"/>
      <c r="G32" s="1399"/>
      <c r="H32" s="1403"/>
      <c r="I32" s="1404"/>
      <c r="J32" s="1405"/>
      <c r="K32" s="1406"/>
    </row>
    <row r="33" spans="1:11" ht="11.25" customHeight="1" x14ac:dyDescent="0.25">
      <c r="A33" s="189" t="s">
        <v>527</v>
      </c>
      <c r="B33" s="513"/>
      <c r="C33" s="1399"/>
      <c r="D33" s="1399"/>
      <c r="E33" s="1400"/>
      <c r="F33" s="1401"/>
      <c r="G33" s="1399"/>
      <c r="H33" s="1403"/>
      <c r="I33" s="1404"/>
      <c r="J33" s="1405"/>
      <c r="K33" s="1406"/>
    </row>
    <row r="34" spans="1:11" ht="11.25" customHeight="1" x14ac:dyDescent="0.25">
      <c r="A34" s="189" t="s">
        <v>528</v>
      </c>
      <c r="B34" s="513"/>
      <c r="C34" s="1399"/>
      <c r="D34" s="1399"/>
      <c r="E34" s="1400"/>
      <c r="F34" s="1401"/>
      <c r="G34" s="1399"/>
      <c r="H34" s="1403"/>
      <c r="I34" s="1404"/>
      <c r="J34" s="1405"/>
      <c r="K34" s="1406"/>
    </row>
    <row r="35" spans="1:11" ht="11.25" customHeight="1" x14ac:dyDescent="0.25">
      <c r="A35" s="189" t="s">
        <v>529</v>
      </c>
      <c r="B35" s="513"/>
      <c r="C35" s="1399"/>
      <c r="D35" s="1399"/>
      <c r="E35" s="1400"/>
      <c r="F35" s="1401"/>
      <c r="G35" s="1399"/>
      <c r="H35" s="1403"/>
      <c r="I35" s="1404"/>
      <c r="J35" s="1405"/>
      <c r="K35" s="1406"/>
    </row>
    <row r="36" spans="1:11" ht="11.25" customHeight="1" x14ac:dyDescent="0.25">
      <c r="A36" s="189" t="s">
        <v>530</v>
      </c>
      <c r="B36" s="513"/>
      <c r="C36" s="1399"/>
      <c r="D36" s="1399"/>
      <c r="E36" s="1400"/>
      <c r="F36" s="1401"/>
      <c r="G36" s="1399"/>
      <c r="H36" s="1403"/>
      <c r="I36" s="1404"/>
      <c r="J36" s="1405"/>
      <c r="K36" s="1406"/>
    </row>
    <row r="37" spans="1:11" ht="11.25" customHeight="1" x14ac:dyDescent="0.25">
      <c r="A37" s="303" t="s">
        <v>1548</v>
      </c>
      <c r="B37" s="513"/>
      <c r="C37" s="520">
        <f>SUM(C31:C36)</f>
        <v>0</v>
      </c>
      <c r="D37" s="520">
        <f t="shared" ref="D37:K37" si="0">SUM(D31:D36)</f>
        <v>0</v>
      </c>
      <c r="E37" s="521">
        <f t="shared" si="0"/>
        <v>0</v>
      </c>
      <c r="F37" s="522">
        <f t="shared" si="0"/>
        <v>0</v>
      </c>
      <c r="G37" s="520">
        <f t="shared" si="0"/>
        <v>0</v>
      </c>
      <c r="H37" s="523">
        <f t="shared" si="0"/>
        <v>0</v>
      </c>
      <c r="I37" s="524">
        <f t="shared" si="0"/>
        <v>0</v>
      </c>
      <c r="J37" s="525">
        <f t="shared" si="0"/>
        <v>0</v>
      </c>
      <c r="K37" s="526">
        <f t="shared" si="0"/>
        <v>0</v>
      </c>
    </row>
    <row r="38" spans="1:11" ht="15.75" customHeight="1" x14ac:dyDescent="0.25">
      <c r="A38" s="189" t="s">
        <v>1461</v>
      </c>
      <c r="B38" s="513">
        <v>5</v>
      </c>
      <c r="C38" s="1405"/>
      <c r="D38" s="1405"/>
      <c r="E38" s="1406"/>
      <c r="F38" s="1407"/>
      <c r="G38" s="1405"/>
      <c r="H38" s="1408"/>
      <c r="I38" s="1409"/>
      <c r="J38" s="1405"/>
      <c r="K38" s="1406"/>
    </row>
    <row r="39" spans="1:11" ht="11.25" customHeight="1" x14ac:dyDescent="0.25">
      <c r="A39" s="189" t="s">
        <v>1462</v>
      </c>
      <c r="B39" s="513">
        <v>5</v>
      </c>
      <c r="C39" s="1405"/>
      <c r="D39" s="1405"/>
      <c r="E39" s="1406"/>
      <c r="F39" s="1407"/>
      <c r="G39" s="1405"/>
      <c r="H39" s="1408"/>
      <c r="I39" s="1409"/>
      <c r="J39" s="1410"/>
      <c r="K39" s="1411"/>
    </row>
    <row r="40" spans="1:11" ht="11.25" customHeight="1" x14ac:dyDescent="0.25">
      <c r="A40" s="302" t="s">
        <v>1463</v>
      </c>
      <c r="B40" s="513">
        <v>5</v>
      </c>
      <c r="C40" s="1405"/>
      <c r="D40" s="1405"/>
      <c r="E40" s="1406"/>
      <c r="F40" s="1407"/>
      <c r="G40" s="1405"/>
      <c r="H40" s="1408"/>
      <c r="I40" s="1409"/>
      <c r="J40" s="1405"/>
      <c r="K40" s="1406"/>
    </row>
    <row r="41" spans="1:11" ht="11.25" customHeight="1" x14ac:dyDescent="0.25">
      <c r="A41" s="302" t="s">
        <v>1464</v>
      </c>
      <c r="B41" s="513">
        <v>5</v>
      </c>
      <c r="C41" s="1405"/>
      <c r="D41" s="1399"/>
      <c r="E41" s="1400"/>
      <c r="F41" s="1401"/>
      <c r="G41" s="1399"/>
      <c r="H41" s="1403"/>
      <c r="I41" s="1404"/>
      <c r="J41" s="1405"/>
      <c r="K41" s="1406"/>
    </row>
    <row r="42" spans="1:11" ht="5.0999999999999996" customHeight="1" x14ac:dyDescent="0.25">
      <c r="A42" s="367"/>
      <c r="B42" s="513"/>
      <c r="C42" s="1351"/>
      <c r="D42" s="1412"/>
      <c r="E42" s="1413"/>
      <c r="F42" s="1414"/>
      <c r="G42" s="1412"/>
      <c r="H42" s="1415"/>
      <c r="I42" s="1416"/>
      <c r="J42" s="1351"/>
      <c r="K42" s="1352"/>
    </row>
    <row r="43" spans="1:11" ht="11.25" customHeight="1" x14ac:dyDescent="0.25">
      <c r="A43" s="530" t="s">
        <v>1549</v>
      </c>
      <c r="B43" s="531"/>
      <c r="C43" s="532"/>
      <c r="D43" s="532"/>
      <c r="E43" s="533"/>
      <c r="F43" s="534"/>
      <c r="G43" s="532"/>
      <c r="H43" s="535"/>
      <c r="I43" s="536"/>
      <c r="J43" s="532"/>
      <c r="K43" s="533"/>
    </row>
    <row r="44" spans="1:11" ht="26.25" customHeight="1" x14ac:dyDescent="0.25">
      <c r="A44" s="416" t="s">
        <v>1460</v>
      </c>
      <c r="B44" s="473"/>
      <c r="C44" s="1377"/>
      <c r="D44" s="1377"/>
      <c r="E44" s="1418"/>
      <c r="F44" s="1419"/>
      <c r="G44" s="1578"/>
      <c r="H44" s="1579"/>
      <c r="I44" s="1417"/>
      <c r="J44" s="1578"/>
      <c r="K44" s="1582"/>
    </row>
    <row r="45" spans="1:11" ht="11.25" customHeight="1" x14ac:dyDescent="0.25">
      <c r="A45" s="189" t="s">
        <v>755</v>
      </c>
      <c r="B45" s="473">
        <v>5</v>
      </c>
      <c r="C45" s="1377"/>
      <c r="D45" s="1377"/>
      <c r="E45" s="1379"/>
      <c r="F45" s="1393"/>
      <c r="G45" s="1580"/>
      <c r="H45" s="1581"/>
      <c r="I45" s="1376"/>
      <c r="J45" s="1580"/>
      <c r="K45" s="1583"/>
    </row>
    <row r="46" spans="1:11" ht="11.25" customHeight="1" x14ac:dyDescent="0.25">
      <c r="A46" s="189" t="s">
        <v>756</v>
      </c>
      <c r="B46" s="473"/>
      <c r="C46" s="1377"/>
      <c r="D46" s="1377"/>
      <c r="E46" s="1379"/>
      <c r="F46" s="1393"/>
      <c r="G46" s="1377"/>
      <c r="H46" s="1378"/>
      <c r="I46" s="1376"/>
      <c r="J46" s="1377"/>
      <c r="K46" s="1379"/>
    </row>
    <row r="47" spans="1:11" ht="11.25" customHeight="1" x14ac:dyDescent="0.25">
      <c r="A47" s="189" t="s">
        <v>757</v>
      </c>
      <c r="B47" s="473"/>
      <c r="C47" s="1377"/>
      <c r="D47" s="1377"/>
      <c r="E47" s="1379"/>
      <c r="F47" s="1393"/>
      <c r="G47" s="1580"/>
      <c r="H47" s="1581"/>
      <c r="I47" s="1376"/>
      <c r="J47" s="1580"/>
      <c r="K47" s="1583"/>
    </row>
    <row r="48" spans="1:11" ht="11.25" customHeight="1" x14ac:dyDescent="0.25">
      <c r="A48" s="189" t="s">
        <v>164</v>
      </c>
      <c r="B48" s="473"/>
      <c r="C48" s="1377"/>
      <c r="D48" s="1377"/>
      <c r="E48" s="1379"/>
      <c r="F48" s="1393"/>
      <c r="G48" s="1377"/>
      <c r="H48" s="1378"/>
      <c r="I48" s="1376"/>
      <c r="J48" s="1377"/>
      <c r="K48" s="1379"/>
    </row>
    <row r="49" spans="1:12" ht="11.25" customHeight="1" x14ac:dyDescent="0.25">
      <c r="A49" s="189" t="s">
        <v>411</v>
      </c>
      <c r="B49" s="473"/>
      <c r="C49" s="1377"/>
      <c r="D49" s="1377"/>
      <c r="E49" s="1379"/>
      <c r="F49" s="1393"/>
      <c r="G49" s="1580"/>
      <c r="H49" s="1581"/>
      <c r="I49" s="1376"/>
      <c r="J49" s="1580"/>
      <c r="K49" s="1583"/>
    </row>
    <row r="50" spans="1:12" ht="11.25" customHeight="1" x14ac:dyDescent="0.25">
      <c r="A50" s="189" t="s">
        <v>419</v>
      </c>
      <c r="B50" s="473"/>
      <c r="C50" s="1318"/>
      <c r="D50" s="1318"/>
      <c r="E50" s="1328"/>
      <c r="F50" s="1329"/>
      <c r="G50" s="1580"/>
      <c r="H50" s="1581"/>
      <c r="I50" s="1330"/>
      <c r="J50" s="1580"/>
      <c r="K50" s="1583"/>
    </row>
    <row r="51" spans="1:12" ht="11.25" customHeight="1" x14ac:dyDescent="0.25">
      <c r="A51" s="189" t="s">
        <v>531</v>
      </c>
      <c r="B51" s="473"/>
      <c r="C51" s="1420"/>
      <c r="D51" s="1420"/>
      <c r="E51" s="1421"/>
      <c r="F51" s="1422"/>
      <c r="G51" s="1580"/>
      <c r="H51" s="1581"/>
      <c r="I51" s="1423"/>
      <c r="J51" s="1580"/>
      <c r="K51" s="1583"/>
    </row>
    <row r="52" spans="1:12" ht="5.0999999999999996" customHeight="1" x14ac:dyDescent="0.25">
      <c r="A52" s="199"/>
      <c r="B52" s="473"/>
      <c r="C52" s="456"/>
      <c r="D52" s="456"/>
      <c r="E52" s="206"/>
      <c r="F52" s="455"/>
      <c r="G52" s="1580"/>
      <c r="H52" s="1581"/>
      <c r="I52" s="1353"/>
      <c r="J52" s="1580"/>
      <c r="K52" s="1583"/>
    </row>
    <row r="53" spans="1:12" ht="11.25" customHeight="1" x14ac:dyDescent="0.25">
      <c r="A53" s="180" t="s">
        <v>665</v>
      </c>
      <c r="B53" s="473"/>
      <c r="C53" s="456"/>
      <c r="D53" s="456"/>
      <c r="E53" s="206"/>
      <c r="F53" s="455"/>
      <c r="G53" s="1580"/>
      <c r="H53" s="1581"/>
      <c r="I53" s="331"/>
      <c r="J53" s="1580"/>
      <c r="K53" s="1583"/>
    </row>
    <row r="54" spans="1:12" ht="11.25" customHeight="1" x14ac:dyDescent="0.25">
      <c r="A54" s="302" t="s">
        <v>1465</v>
      </c>
      <c r="B54" s="513">
        <v>6</v>
      </c>
      <c r="C54" s="1318"/>
      <c r="D54" s="1318"/>
      <c r="E54" s="1328"/>
      <c r="F54" s="1329"/>
      <c r="G54" s="1318"/>
      <c r="H54" s="1321"/>
      <c r="I54" s="1330"/>
      <c r="J54" s="1318"/>
      <c r="K54" s="1328"/>
      <c r="L54" s="338"/>
    </row>
    <row r="55" spans="1:12" ht="11.25" customHeight="1" x14ac:dyDescent="0.25">
      <c r="A55" s="302" t="s">
        <v>1466</v>
      </c>
      <c r="B55" s="513">
        <v>6</v>
      </c>
      <c r="C55" s="1318"/>
      <c r="D55" s="1318"/>
      <c r="E55" s="1328"/>
      <c r="F55" s="1329"/>
      <c r="G55" s="1318"/>
      <c r="H55" s="1321"/>
      <c r="I55" s="1330"/>
      <c r="J55" s="1318"/>
      <c r="K55" s="1328"/>
      <c r="L55" s="338"/>
    </row>
    <row r="56" spans="1:12" ht="11.25" customHeight="1" x14ac:dyDescent="0.25">
      <c r="A56" s="189" t="s">
        <v>1588</v>
      </c>
      <c r="B56" s="513"/>
      <c r="C56" s="1424"/>
      <c r="D56" s="1424"/>
      <c r="E56" s="1425"/>
      <c r="F56" s="1426"/>
      <c r="G56" s="1424"/>
      <c r="H56" s="1427"/>
      <c r="I56" s="1428"/>
      <c r="J56" s="1420"/>
      <c r="K56" s="1421"/>
    </row>
    <row r="57" spans="1:12" ht="11.25" customHeight="1" x14ac:dyDescent="0.25">
      <c r="A57" s="189" t="s">
        <v>1506</v>
      </c>
      <c r="B57" s="513">
        <v>7</v>
      </c>
      <c r="C57" s="1429"/>
      <c r="D57" s="1429"/>
      <c r="E57" s="1430"/>
      <c r="F57" s="1431"/>
      <c r="G57" s="1429"/>
      <c r="H57" s="1432"/>
      <c r="I57" s="1433"/>
      <c r="J57" s="1318"/>
      <c r="K57" s="1328"/>
    </row>
    <row r="58" spans="1:12" ht="15.75" customHeight="1" x14ac:dyDescent="0.25">
      <c r="A58" s="189" t="s">
        <v>420</v>
      </c>
      <c r="B58" s="513"/>
      <c r="C58" s="1434"/>
      <c r="D58" s="1434"/>
      <c r="E58" s="1435"/>
      <c r="F58" s="1436"/>
      <c r="G58" s="1434"/>
      <c r="H58" s="1437"/>
      <c r="I58" s="1438"/>
      <c r="J58" s="1322"/>
      <c r="K58" s="1439"/>
    </row>
    <row r="59" spans="1:12" ht="11.25" customHeight="1" x14ac:dyDescent="0.25">
      <c r="A59" s="189" t="s">
        <v>521</v>
      </c>
      <c r="B59" s="513"/>
      <c r="C59" s="1429"/>
      <c r="D59" s="1429"/>
      <c r="E59" s="1430"/>
      <c r="F59" s="1431"/>
      <c r="G59" s="1429"/>
      <c r="H59" s="1432"/>
      <c r="I59" s="1433"/>
      <c r="J59" s="1318"/>
      <c r="K59" s="1328"/>
    </row>
    <row r="60" spans="1:12" ht="11.25" customHeight="1" x14ac:dyDescent="0.25">
      <c r="A60" s="189" t="s">
        <v>522</v>
      </c>
      <c r="B60" s="513"/>
      <c r="C60" s="1429"/>
      <c r="D60" s="1429"/>
      <c r="E60" s="1430"/>
      <c r="F60" s="1431"/>
      <c r="G60" s="1429"/>
      <c r="H60" s="1432"/>
      <c r="I60" s="1433"/>
      <c r="J60" s="1318"/>
      <c r="K60" s="1328"/>
    </row>
    <row r="61" spans="1:12" ht="11.25" customHeight="1" x14ac:dyDescent="0.25">
      <c r="A61" s="189" t="s">
        <v>523</v>
      </c>
      <c r="B61" s="513"/>
      <c r="C61" s="1429"/>
      <c r="D61" s="1429"/>
      <c r="E61" s="1430"/>
      <c r="F61" s="1431"/>
      <c r="G61" s="1429"/>
      <c r="H61" s="1432"/>
      <c r="I61" s="1433"/>
      <c r="J61" s="1318"/>
      <c r="K61" s="1328"/>
    </row>
    <row r="62" spans="1:12" ht="11.25" customHeight="1" x14ac:dyDescent="0.25">
      <c r="A62" s="189" t="s">
        <v>1505</v>
      </c>
      <c r="B62" s="513"/>
      <c r="C62" s="1440"/>
      <c r="D62" s="1440"/>
      <c r="E62" s="1441"/>
      <c r="F62" s="1442"/>
      <c r="G62" s="1440"/>
      <c r="H62" s="1443"/>
      <c r="I62" s="1444"/>
      <c r="J62" s="1343"/>
      <c r="K62" s="1344"/>
    </row>
    <row r="63" spans="1:12" ht="11.25" customHeight="1" x14ac:dyDescent="0.25">
      <c r="A63" s="303" t="s">
        <v>663</v>
      </c>
      <c r="B63" s="513"/>
      <c r="C63" s="357">
        <f>SUM(C58:C62)</f>
        <v>0</v>
      </c>
      <c r="D63" s="357">
        <f t="shared" ref="D63:K63" si="1">SUM(D58:D62)</f>
        <v>0</v>
      </c>
      <c r="E63" s="313">
        <f t="shared" si="1"/>
        <v>0</v>
      </c>
      <c r="F63" s="358">
        <f t="shared" si="1"/>
        <v>0</v>
      </c>
      <c r="G63" s="357">
        <f t="shared" si="1"/>
        <v>0</v>
      </c>
      <c r="H63" s="540">
        <f t="shared" si="1"/>
        <v>0</v>
      </c>
      <c r="I63" s="359">
        <f t="shared" si="1"/>
        <v>0</v>
      </c>
      <c r="J63" s="357">
        <f t="shared" si="1"/>
        <v>0</v>
      </c>
      <c r="K63" s="313">
        <f t="shared" si="1"/>
        <v>0</v>
      </c>
    </row>
    <row r="64" spans="1:12" ht="5.0999999999999996" customHeight="1" x14ac:dyDescent="0.25">
      <c r="A64" s="308"/>
      <c r="B64" s="541"/>
      <c r="C64" s="542"/>
      <c r="D64" s="542"/>
      <c r="E64" s="543"/>
      <c r="F64" s="544"/>
      <c r="G64" s="545"/>
      <c r="H64" s="546"/>
      <c r="I64" s="547"/>
      <c r="J64" s="542"/>
      <c r="K64" s="543"/>
    </row>
    <row r="65" spans="1:11" s="625" customFormat="1" x14ac:dyDescent="0.25">
      <c r="A65" s="995" t="str">
        <f>head27a</f>
        <v>References</v>
      </c>
      <c r="B65" s="837"/>
      <c r="C65" s="841"/>
      <c r="D65" s="841"/>
      <c r="E65" s="841"/>
      <c r="F65" s="841"/>
      <c r="G65" s="841"/>
      <c r="H65" s="841"/>
      <c r="I65" s="841"/>
      <c r="J65" s="841"/>
      <c r="K65" s="841"/>
    </row>
    <row r="66" spans="1:11" s="625" customFormat="1" x14ac:dyDescent="0.25">
      <c r="A66" s="965" t="s">
        <v>1587</v>
      </c>
      <c r="B66" s="850"/>
      <c r="C66" s="850"/>
      <c r="D66" s="850"/>
      <c r="E66" s="850"/>
      <c r="F66" s="850"/>
      <c r="G66" s="850"/>
      <c r="H66" s="850"/>
      <c r="I66" s="850"/>
      <c r="J66" s="850"/>
      <c r="K66" s="850"/>
    </row>
    <row r="67" spans="1:11" s="625" customFormat="1" x14ac:dyDescent="0.25">
      <c r="A67" s="962" t="s">
        <v>1589</v>
      </c>
      <c r="B67" s="850"/>
      <c r="C67" s="850"/>
      <c r="D67" s="850"/>
      <c r="E67" s="850"/>
      <c r="F67" s="850"/>
      <c r="G67" s="850"/>
      <c r="H67" s="850"/>
      <c r="I67" s="850"/>
      <c r="J67" s="850"/>
      <c r="K67" s="850"/>
    </row>
    <row r="68" spans="1:11" s="625" customFormat="1" x14ac:dyDescent="0.25">
      <c r="A68" s="962" t="s">
        <v>1590</v>
      </c>
      <c r="B68" s="850"/>
      <c r="C68" s="850"/>
      <c r="D68" s="850"/>
      <c r="E68" s="851"/>
      <c r="F68" s="851"/>
      <c r="G68" s="850"/>
      <c r="H68" s="850"/>
      <c r="I68" s="850"/>
      <c r="J68" s="850"/>
      <c r="K68" s="850"/>
    </row>
    <row r="69" spans="1:11" s="625" customFormat="1" x14ac:dyDescent="0.25">
      <c r="A69" s="962" t="s">
        <v>1591</v>
      </c>
      <c r="B69" s="850"/>
      <c r="C69" s="850"/>
      <c r="D69" s="850"/>
      <c r="E69" s="851"/>
      <c r="F69" s="851"/>
      <c r="G69" s="850"/>
      <c r="H69" s="850"/>
      <c r="I69" s="850"/>
      <c r="J69" s="850"/>
      <c r="K69" s="850"/>
    </row>
    <row r="70" spans="1:11" s="625" customFormat="1" x14ac:dyDescent="0.25">
      <c r="A70" s="965" t="s">
        <v>1613</v>
      </c>
      <c r="B70" s="850"/>
      <c r="C70" s="850"/>
      <c r="D70" s="850"/>
      <c r="E70" s="851"/>
      <c r="F70" s="851"/>
      <c r="G70" s="850"/>
      <c r="H70" s="850"/>
      <c r="I70" s="850"/>
      <c r="J70" s="850"/>
      <c r="K70" s="850"/>
    </row>
    <row r="71" spans="1:11" s="625" customFormat="1" x14ac:dyDescent="0.25">
      <c r="A71" s="965" t="str">
        <f>"6. Current and budget year must reconcile to "&amp;'Template names'!F103</f>
        <v>6. Current and budget year must reconcile to Table A4 Budgeted Financial Performance (revenue and expenditure)</v>
      </c>
      <c r="B71" s="850"/>
      <c r="C71" s="850"/>
      <c r="D71" s="850"/>
      <c r="E71" s="851"/>
      <c r="F71" s="851"/>
      <c r="G71" s="850"/>
      <c r="H71" s="850"/>
      <c r="I71" s="850"/>
      <c r="J71" s="850"/>
      <c r="K71" s="850"/>
    </row>
    <row r="72" spans="1:11" s="625" customFormat="1" x14ac:dyDescent="0.25">
      <c r="A72" s="965" t="s">
        <v>664</v>
      </c>
      <c r="B72" s="850"/>
      <c r="C72" s="850"/>
      <c r="D72" s="850"/>
      <c r="E72" s="851"/>
      <c r="F72" s="851"/>
      <c r="G72" s="850"/>
      <c r="H72" s="850"/>
      <c r="I72" s="850"/>
      <c r="J72" s="850"/>
      <c r="K72" s="850"/>
    </row>
    <row r="73" spans="1:11" x14ac:dyDescent="0.25">
      <c r="A73" s="965" t="s">
        <v>1611</v>
      </c>
      <c r="B73" s="241"/>
      <c r="C73" s="241"/>
      <c r="D73" s="241"/>
      <c r="E73" s="328"/>
      <c r="F73" s="328"/>
      <c r="G73" s="241"/>
      <c r="H73" s="241"/>
      <c r="I73" s="241"/>
      <c r="J73" s="241"/>
      <c r="K73" s="241"/>
    </row>
    <row r="74" spans="1:11" x14ac:dyDescent="0.25">
      <c r="A74" s="241"/>
      <c r="B74" s="241"/>
      <c r="C74" s="241"/>
      <c r="D74" s="241"/>
      <c r="E74" s="328"/>
      <c r="F74" s="328"/>
      <c r="G74" s="241"/>
      <c r="H74" s="241"/>
      <c r="I74" s="241"/>
      <c r="J74" s="241"/>
      <c r="K74" s="241"/>
    </row>
    <row r="75" spans="1:11" x14ac:dyDescent="0.25">
      <c r="A75" s="241"/>
      <c r="B75" s="232"/>
      <c r="C75" s="236"/>
      <c r="D75" s="236"/>
      <c r="E75" s="237"/>
      <c r="F75" s="237"/>
      <c r="G75" s="237"/>
      <c r="H75" s="237"/>
      <c r="I75" s="237"/>
      <c r="J75" s="237"/>
      <c r="K75" s="237"/>
    </row>
    <row r="76" spans="1:11" x14ac:dyDescent="0.25">
      <c r="A76" s="241"/>
      <c r="B76" s="232"/>
      <c r="C76" s="236"/>
      <c r="D76" s="236"/>
      <c r="E76" s="237"/>
      <c r="F76" s="237"/>
      <c r="G76" s="237"/>
      <c r="H76" s="237"/>
      <c r="I76" s="237"/>
      <c r="J76" s="237"/>
      <c r="K76" s="237"/>
    </row>
    <row r="77" spans="1:11" x14ac:dyDescent="0.25">
      <c r="A77" s="241"/>
      <c r="B77" s="232"/>
      <c r="C77" s="236"/>
      <c r="D77" s="236"/>
      <c r="E77" s="237"/>
      <c r="F77" s="237"/>
      <c r="G77" s="237"/>
      <c r="H77" s="237"/>
      <c r="I77" s="237"/>
      <c r="J77" s="237"/>
      <c r="K77" s="237"/>
    </row>
    <row r="78" spans="1:11" x14ac:dyDescent="0.25">
      <c r="A78" s="241"/>
      <c r="B78" s="232"/>
      <c r="C78" s="236"/>
      <c r="D78" s="236"/>
      <c r="E78" s="237"/>
      <c r="F78" s="237"/>
      <c r="G78" s="237"/>
      <c r="H78" s="237"/>
      <c r="I78" s="237"/>
      <c r="J78" s="237"/>
      <c r="K78" s="237"/>
    </row>
    <row r="79" spans="1:11" ht="11.25" customHeight="1" x14ac:dyDescent="0.25">
      <c r="A79" s="241"/>
      <c r="B79" s="232"/>
      <c r="C79" s="241"/>
      <c r="D79" s="241"/>
      <c r="E79" s="241"/>
      <c r="F79" s="241"/>
      <c r="G79" s="241"/>
    </row>
    <row r="80" spans="1:11" ht="11.25" customHeight="1" x14ac:dyDescent="0.25">
      <c r="A80" s="241"/>
      <c r="B80" s="241"/>
      <c r="C80" s="241"/>
      <c r="D80" s="241"/>
      <c r="E80" s="241"/>
      <c r="F80" s="241"/>
      <c r="G80" s="241"/>
    </row>
    <row r="81" spans="1:7" ht="11.25" customHeight="1" x14ac:dyDescent="0.25">
      <c r="A81" s="241"/>
      <c r="B81" s="241"/>
      <c r="C81" s="241"/>
      <c r="D81" s="241"/>
      <c r="E81" s="241"/>
      <c r="F81" s="241"/>
      <c r="G81" s="241"/>
    </row>
    <row r="82" spans="1:7" ht="11.25" customHeight="1" x14ac:dyDescent="0.25">
      <c r="A82" s="241"/>
      <c r="B82" s="241"/>
      <c r="C82" s="241"/>
      <c r="D82" s="241"/>
      <c r="E82" s="241"/>
      <c r="F82" s="241"/>
      <c r="G82" s="241"/>
    </row>
    <row r="83" spans="1:7" ht="11.25" customHeight="1" x14ac:dyDescent="0.25">
      <c r="A83" s="241"/>
      <c r="B83" s="232"/>
      <c r="C83" s="241"/>
      <c r="D83" s="241"/>
      <c r="E83" s="241"/>
      <c r="F83" s="241"/>
      <c r="G83" s="241"/>
    </row>
    <row r="84" spans="1:7" ht="11.25" customHeight="1" x14ac:dyDescent="0.25"/>
    <row r="85" spans="1:7" ht="11.25" customHeight="1" x14ac:dyDescent="0.25"/>
    <row r="86" spans="1:7" ht="11.25" customHeight="1" x14ac:dyDescent="0.25"/>
    <row r="87" spans="1:7" ht="11.25" customHeight="1" x14ac:dyDescent="0.25"/>
    <row r="88" spans="1:7" ht="11.25" customHeight="1" x14ac:dyDescent="0.25"/>
    <row r="89" spans="1:7" ht="11.25" customHeight="1" x14ac:dyDescent="0.25"/>
    <row r="90" spans="1:7" ht="11.25" customHeight="1" x14ac:dyDescent="0.25"/>
    <row r="91" spans="1:7" ht="11.25" customHeight="1" x14ac:dyDescent="0.25"/>
    <row r="92" spans="1:7" ht="11.25" customHeight="1" x14ac:dyDescent="0.25"/>
    <row r="93" spans="1:7" ht="11.25" customHeight="1" x14ac:dyDescent="0.25"/>
    <row r="94" spans="1:7" ht="11.25" customHeight="1" x14ac:dyDescent="0.25"/>
    <row r="95" spans="1:7" ht="11.25" customHeight="1" x14ac:dyDescent="0.25"/>
    <row r="96" spans="1:7"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sheetData>
  <sheetProtection sheet="1" objects="1" scenarios="1"/>
  <mergeCells count="4">
    <mergeCell ref="F2:H2"/>
    <mergeCell ref="I2:K2"/>
    <mergeCell ref="B2:B4"/>
    <mergeCell ref="A2:A3"/>
  </mergeCells>
  <phoneticPr fontId="4" type="noConversion"/>
  <dataValidations xWindow="491" yWindow="324" count="1">
    <dataValidation type="list" showInputMessage="1" showErrorMessage="1" promptTitle="Guidance" prompt="Select Yes, No or 'blank'" sqref="C8:F9 I16 C16:F16 I8:I9 C49:F49 C44:F47 I49 I44:I47 G46:H46 J46:K46">
      <formula1>List1</formula1>
    </dataValidation>
  </dataValidations>
  <pageMargins left="0.75" right="0.75" top="1" bottom="1" header="0.5" footer="0.5"/>
  <pageSetup scale="76"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enableFormatConditionsCalculation="0">
    <tabColor indexed="42"/>
    <pageSetUpPr fitToPage="1"/>
  </sheetPr>
  <dimension ref="A1:S146"/>
  <sheetViews>
    <sheetView showGridLines="0" tabSelected="1" workbookViewId="0">
      <pane xSplit="2" ySplit="2" topLeftCell="C28"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570" customWidth="1"/>
    <col min="3" max="18" width="8.140625" style="148" customWidth="1"/>
    <col min="19" max="19" width="9.85546875" style="148" customWidth="1"/>
    <col min="20" max="20" width="9.5703125" style="148" customWidth="1"/>
    <col min="21" max="21" width="9.85546875" style="148" customWidth="1"/>
    <col min="22" max="24" width="9.5703125" style="148" customWidth="1"/>
    <col min="25" max="25" width="9.85546875" style="148" customWidth="1"/>
    <col min="26" max="28" width="9.5703125" style="148" customWidth="1"/>
    <col min="29" max="30" width="9.85546875" style="148" customWidth="1"/>
    <col min="31" max="16384" width="9.140625" style="148"/>
  </cols>
  <sheetData>
    <row r="1" spans="1:18" ht="13.5" x14ac:dyDescent="0.25">
      <c r="A1" s="146" t="str">
        <f>muni&amp;" - "&amp;TableA12a</f>
        <v>NC071 Ubuntu - Supporting Table SA12a Property rates by category (current year)</v>
      </c>
      <c r="B1" s="549"/>
      <c r="C1" s="146"/>
      <c r="D1" s="146"/>
      <c r="E1" s="146"/>
      <c r="F1" s="146"/>
      <c r="G1" s="146"/>
      <c r="H1" s="146"/>
      <c r="I1" s="146"/>
      <c r="J1" s="146"/>
      <c r="K1" s="146"/>
      <c r="L1" s="146"/>
      <c r="M1" s="146"/>
      <c r="N1" s="146"/>
      <c r="O1" s="146"/>
      <c r="P1" s="146"/>
      <c r="Q1" s="146"/>
      <c r="R1" s="146"/>
    </row>
    <row r="2" spans="1:18" ht="38.25" x14ac:dyDescent="0.25">
      <c r="A2" s="550" t="str">
        <f>desc</f>
        <v>Description</v>
      </c>
      <c r="B2" s="551" t="str">
        <f>head27</f>
        <v>Ref</v>
      </c>
      <c r="C2" s="458" t="s">
        <v>1078</v>
      </c>
      <c r="D2" s="458" t="s">
        <v>1079</v>
      </c>
      <c r="E2" s="458" t="s">
        <v>1080</v>
      </c>
      <c r="F2" s="458" t="s">
        <v>1081</v>
      </c>
      <c r="G2" s="458" t="s">
        <v>1467</v>
      </c>
      <c r="H2" s="458" t="s">
        <v>1550</v>
      </c>
      <c r="I2" s="458" t="s">
        <v>1468</v>
      </c>
      <c r="J2" s="458" t="s">
        <v>1082</v>
      </c>
      <c r="K2" s="458" t="s">
        <v>416</v>
      </c>
      <c r="L2" s="458" t="s">
        <v>1083</v>
      </c>
      <c r="M2" s="458" t="s">
        <v>417</v>
      </c>
      <c r="N2" s="458" t="s">
        <v>1551</v>
      </c>
      <c r="O2" s="458" t="s">
        <v>1084</v>
      </c>
      <c r="P2" s="458" t="s">
        <v>418</v>
      </c>
      <c r="Q2" s="458" t="s">
        <v>1552</v>
      </c>
      <c r="R2" s="552" t="s">
        <v>1553</v>
      </c>
    </row>
    <row r="3" spans="1:18" ht="11.25" customHeight="1" x14ac:dyDescent="0.25">
      <c r="A3" s="244" t="str">
        <f>Head2</f>
        <v>Current Year 2011/12</v>
      </c>
      <c r="B3" s="181"/>
      <c r="C3" s="553"/>
      <c r="D3" s="553"/>
      <c r="E3" s="553"/>
      <c r="F3" s="553"/>
      <c r="G3" s="553"/>
      <c r="H3" s="553"/>
      <c r="I3" s="553"/>
      <c r="J3" s="553"/>
      <c r="K3" s="553"/>
      <c r="L3" s="553"/>
      <c r="M3" s="553"/>
      <c r="N3" s="553"/>
      <c r="O3" s="553"/>
      <c r="P3" s="553"/>
      <c r="Q3" s="553"/>
      <c r="R3" s="554"/>
    </row>
    <row r="4" spans="1:18" ht="11.25" customHeight="1" x14ac:dyDescent="0.25">
      <c r="A4" s="244" t="s">
        <v>759</v>
      </c>
      <c r="B4" s="181"/>
      <c r="C4" s="553"/>
      <c r="D4" s="553"/>
      <c r="E4" s="553"/>
      <c r="F4" s="553"/>
      <c r="G4" s="553"/>
      <c r="H4" s="553"/>
      <c r="I4" s="553"/>
      <c r="J4" s="553"/>
      <c r="K4" s="553"/>
      <c r="L4" s="553"/>
      <c r="M4" s="553"/>
      <c r="N4" s="553"/>
      <c r="O4" s="553"/>
      <c r="P4" s="553"/>
      <c r="Q4" s="553"/>
      <c r="R4" s="554"/>
    </row>
    <row r="5" spans="1:18" ht="11.25" customHeight="1" x14ac:dyDescent="0.25">
      <c r="A5" s="245" t="s">
        <v>413</v>
      </c>
      <c r="B5" s="181"/>
      <c r="C5" s="1348">
        <v>3632</v>
      </c>
      <c r="D5" s="1348"/>
      <c r="E5" s="1348">
        <v>142</v>
      </c>
      <c r="F5" s="1348">
        <v>845</v>
      </c>
      <c r="G5" s="1348">
        <v>65</v>
      </c>
      <c r="H5" s="1348">
        <v>351</v>
      </c>
      <c r="I5" s="1348"/>
      <c r="J5" s="1348"/>
      <c r="K5" s="1348"/>
      <c r="L5" s="1348"/>
      <c r="M5" s="1348"/>
      <c r="N5" s="1348"/>
      <c r="O5" s="1348"/>
      <c r="P5" s="1348"/>
      <c r="Q5" s="1348"/>
      <c r="R5" s="1445"/>
    </row>
    <row r="6" spans="1:18" ht="11.25" customHeight="1" x14ac:dyDescent="0.25">
      <c r="A6" s="245" t="s">
        <v>1405</v>
      </c>
      <c r="B6" s="181"/>
      <c r="C6" s="1348"/>
      <c r="D6" s="1348"/>
      <c r="E6" s="1348"/>
      <c r="F6" s="1348"/>
      <c r="G6" s="1348"/>
      <c r="H6" s="1348"/>
      <c r="I6" s="1348"/>
      <c r="J6" s="1348"/>
      <c r="K6" s="1348"/>
      <c r="L6" s="1348"/>
      <c r="M6" s="1348"/>
      <c r="N6" s="1348"/>
      <c r="O6" s="1348"/>
      <c r="P6" s="1348"/>
      <c r="Q6" s="1348"/>
      <c r="R6" s="1445"/>
    </row>
    <row r="7" spans="1:18" ht="11.25" customHeight="1" x14ac:dyDescent="0.25">
      <c r="A7" s="245" t="s">
        <v>415</v>
      </c>
      <c r="B7" s="181"/>
      <c r="C7" s="1348"/>
      <c r="D7" s="1348"/>
      <c r="E7" s="1348"/>
      <c r="F7" s="1348"/>
      <c r="G7" s="1348"/>
      <c r="H7" s="1348"/>
      <c r="I7" s="1348"/>
      <c r="J7" s="1348"/>
      <c r="K7" s="1348"/>
      <c r="L7" s="1348"/>
      <c r="M7" s="1348"/>
      <c r="N7" s="1348"/>
      <c r="O7" s="1348"/>
      <c r="P7" s="1348"/>
      <c r="Q7" s="1348"/>
      <c r="R7" s="1445"/>
    </row>
    <row r="8" spans="1:18" ht="11.25" customHeight="1" x14ac:dyDescent="0.25">
      <c r="A8" s="245" t="s">
        <v>750</v>
      </c>
      <c r="B8" s="181"/>
      <c r="C8" s="1348"/>
      <c r="D8" s="1348"/>
      <c r="E8" s="1348"/>
      <c r="F8" s="1348"/>
      <c r="G8" s="1348"/>
      <c r="H8" s="1348"/>
      <c r="I8" s="1348"/>
      <c r="J8" s="1348"/>
      <c r="K8" s="1348"/>
      <c r="L8" s="1348"/>
      <c r="M8" s="1348"/>
      <c r="N8" s="1348"/>
      <c r="O8" s="1348"/>
      <c r="P8" s="1348"/>
      <c r="Q8" s="1348"/>
      <c r="R8" s="1445"/>
    </row>
    <row r="9" spans="1:18" ht="11.25" customHeight="1" x14ac:dyDescent="0.25">
      <c r="A9" s="245" t="s">
        <v>1406</v>
      </c>
      <c r="B9" s="181"/>
      <c r="C9" s="1348"/>
      <c r="D9" s="1348"/>
      <c r="E9" s="1348"/>
      <c r="F9" s="1348"/>
      <c r="G9" s="1348"/>
      <c r="H9" s="1348"/>
      <c r="I9" s="1348"/>
      <c r="J9" s="1348"/>
      <c r="K9" s="1348"/>
      <c r="L9" s="1348"/>
      <c r="M9" s="1348"/>
      <c r="N9" s="1348"/>
      <c r="O9" s="1348"/>
      <c r="P9" s="1348"/>
      <c r="Q9" s="1348"/>
      <c r="R9" s="1445"/>
    </row>
    <row r="10" spans="1:18" ht="11.25" customHeight="1" x14ac:dyDescent="0.25">
      <c r="A10" s="245" t="s">
        <v>751</v>
      </c>
      <c r="B10" s="181"/>
      <c r="C10" s="1348"/>
      <c r="D10" s="1348"/>
      <c r="E10" s="1348"/>
      <c r="F10" s="1348"/>
      <c r="G10" s="1348"/>
      <c r="H10" s="1348"/>
      <c r="I10" s="1348"/>
      <c r="J10" s="1348"/>
      <c r="K10" s="1348"/>
      <c r="L10" s="1348"/>
      <c r="M10" s="1348"/>
      <c r="N10" s="1348"/>
      <c r="O10" s="1348"/>
      <c r="P10" s="1348"/>
      <c r="Q10" s="1348"/>
      <c r="R10" s="1445"/>
    </row>
    <row r="11" spans="1:18" ht="11.25" customHeight="1" x14ac:dyDescent="0.25">
      <c r="A11" s="245" t="s">
        <v>368</v>
      </c>
      <c r="B11" s="181"/>
      <c r="C11" s="1348"/>
      <c r="D11" s="1348"/>
      <c r="E11" s="1348"/>
      <c r="F11" s="1348"/>
      <c r="G11" s="1348"/>
      <c r="H11" s="1348"/>
      <c r="I11" s="1348"/>
      <c r="J11" s="1348"/>
      <c r="K11" s="1348"/>
      <c r="L11" s="1348"/>
      <c r="M11" s="1348"/>
      <c r="N11" s="1348"/>
      <c r="O11" s="1348"/>
      <c r="P11" s="1348"/>
      <c r="Q11" s="1348"/>
      <c r="R11" s="1445"/>
    </row>
    <row r="12" spans="1:18" ht="11.25" customHeight="1" x14ac:dyDescent="0.25">
      <c r="A12" s="245" t="s">
        <v>369</v>
      </c>
      <c r="B12" s="181"/>
      <c r="C12" s="1348"/>
      <c r="D12" s="1348"/>
      <c r="E12" s="1348"/>
      <c r="F12" s="1348"/>
      <c r="G12" s="1348"/>
      <c r="H12" s="1348"/>
      <c r="I12" s="1348"/>
      <c r="J12" s="1348"/>
      <c r="K12" s="1348"/>
      <c r="L12" s="1348"/>
      <c r="M12" s="1348"/>
      <c r="N12" s="1348"/>
      <c r="O12" s="1348"/>
      <c r="P12" s="1348"/>
      <c r="Q12" s="1348"/>
      <c r="R12" s="1445"/>
    </row>
    <row r="13" spans="1:18" ht="11.25" customHeight="1" x14ac:dyDescent="0.25">
      <c r="A13" s="245" t="s">
        <v>370</v>
      </c>
      <c r="B13" s="181"/>
      <c r="C13" s="1348"/>
      <c r="D13" s="1348"/>
      <c r="E13" s="1348"/>
      <c r="F13" s="1348"/>
      <c r="G13" s="1348"/>
      <c r="H13" s="1348"/>
      <c r="I13" s="1348"/>
      <c r="J13" s="1348"/>
      <c r="K13" s="1348"/>
      <c r="L13" s="1348"/>
      <c r="M13" s="1348"/>
      <c r="N13" s="1348"/>
      <c r="O13" s="1348"/>
      <c r="P13" s="1348"/>
      <c r="Q13" s="1348"/>
      <c r="R13" s="1445"/>
    </row>
    <row r="14" spans="1:18" ht="11.25" customHeight="1" x14ac:dyDescent="0.25">
      <c r="A14" s="245" t="s">
        <v>761</v>
      </c>
      <c r="B14" s="181">
        <v>5</v>
      </c>
      <c r="C14" s="1348"/>
      <c r="D14" s="1348"/>
      <c r="E14" s="1348"/>
      <c r="F14" s="1348"/>
      <c r="G14" s="1348"/>
      <c r="H14" s="1348"/>
      <c r="I14" s="1348"/>
      <c r="J14" s="1348"/>
      <c r="K14" s="1348"/>
      <c r="L14" s="1348"/>
      <c r="M14" s="1348"/>
      <c r="N14" s="1348"/>
      <c r="O14" s="1348"/>
      <c r="P14" s="1348"/>
      <c r="Q14" s="1348"/>
      <c r="R14" s="1445"/>
    </row>
    <row r="15" spans="1:18" ht="11.25" customHeight="1" x14ac:dyDescent="0.25">
      <c r="A15" s="245" t="s">
        <v>749</v>
      </c>
      <c r="B15" s="181">
        <v>5</v>
      </c>
      <c r="C15" s="1348"/>
      <c r="D15" s="1348"/>
      <c r="E15" s="1348"/>
      <c r="F15" s="1348"/>
      <c r="G15" s="1348"/>
      <c r="H15" s="1348"/>
      <c r="I15" s="1348"/>
      <c r="J15" s="1348"/>
      <c r="K15" s="1348"/>
      <c r="L15" s="1348"/>
      <c r="M15" s="1348"/>
      <c r="N15" s="1348"/>
      <c r="O15" s="1348"/>
      <c r="P15" s="1348"/>
      <c r="Q15" s="1348"/>
      <c r="R15" s="1445"/>
    </row>
    <row r="16" spans="1:18" ht="11.25" customHeight="1" x14ac:dyDescent="0.25">
      <c r="A16" s="249" t="s">
        <v>1407</v>
      </c>
      <c r="B16" s="318"/>
      <c r="C16" s="1346"/>
      <c r="D16" s="1346"/>
      <c r="E16" s="1346"/>
      <c r="F16" s="1346"/>
      <c r="G16" s="1346"/>
      <c r="H16" s="1346"/>
      <c r="I16" s="1351"/>
      <c r="J16" s="1346"/>
      <c r="K16" s="1346"/>
      <c r="L16" s="1346"/>
      <c r="M16" s="1346"/>
      <c r="N16" s="1346"/>
      <c r="O16" s="1346"/>
      <c r="P16" s="1346"/>
      <c r="Q16" s="1346"/>
      <c r="R16" s="1446"/>
    </row>
    <row r="17" spans="1:18" ht="11.25" customHeight="1" x14ac:dyDescent="0.25">
      <c r="A17" s="245" t="s">
        <v>1688</v>
      </c>
      <c r="B17" s="181"/>
      <c r="C17" s="1377"/>
      <c r="D17" s="1377"/>
      <c r="E17" s="1377"/>
      <c r="F17" s="1377"/>
      <c r="G17" s="1377"/>
      <c r="H17" s="1377"/>
      <c r="I17" s="1377"/>
      <c r="J17" s="1377"/>
      <c r="K17" s="1377"/>
      <c r="L17" s="1377"/>
      <c r="M17" s="1377"/>
      <c r="N17" s="1377"/>
      <c r="O17" s="1377"/>
      <c r="P17" s="1377"/>
      <c r="Q17" s="1377"/>
      <c r="R17" s="1378"/>
    </row>
    <row r="18" spans="1:18" ht="11.25" customHeight="1" x14ac:dyDescent="0.25">
      <c r="A18" s="245" t="s">
        <v>1689</v>
      </c>
      <c r="B18" s="181"/>
      <c r="C18" s="1377"/>
      <c r="D18" s="1447"/>
      <c r="E18" s="1447"/>
      <c r="F18" s="1447"/>
      <c r="G18" s="1447"/>
      <c r="H18" s="1447"/>
      <c r="I18" s="1447"/>
      <c r="J18" s="1447"/>
      <c r="K18" s="1447"/>
      <c r="L18" s="1447"/>
      <c r="M18" s="1447"/>
      <c r="N18" s="1447"/>
      <c r="O18" s="1447"/>
      <c r="P18" s="1447"/>
      <c r="Q18" s="1447"/>
      <c r="R18" s="1448"/>
    </row>
    <row r="19" spans="1:18" ht="11.25" customHeight="1" x14ac:dyDescent="0.25">
      <c r="A19" s="245" t="s">
        <v>1690</v>
      </c>
      <c r="B19" s="181"/>
      <c r="C19" s="1377"/>
      <c r="D19" s="1377"/>
      <c r="E19" s="1377"/>
      <c r="F19" s="1377"/>
      <c r="G19" s="1377"/>
      <c r="H19" s="1377"/>
      <c r="I19" s="1377"/>
      <c r="J19" s="1377"/>
      <c r="K19" s="1377"/>
      <c r="L19" s="1377"/>
      <c r="M19" s="1377"/>
      <c r="N19" s="1377"/>
      <c r="O19" s="1377"/>
      <c r="P19" s="1377"/>
      <c r="Q19" s="1377"/>
      <c r="R19" s="1378"/>
    </row>
    <row r="20" spans="1:18" ht="11.25" customHeight="1" x14ac:dyDescent="0.25">
      <c r="A20" s="245" t="s">
        <v>1691</v>
      </c>
      <c r="B20" s="181"/>
      <c r="C20" s="1377"/>
      <c r="D20" s="1377"/>
      <c r="E20" s="1377"/>
      <c r="F20" s="1377"/>
      <c r="G20" s="1377"/>
      <c r="H20" s="1377"/>
      <c r="I20" s="1377"/>
      <c r="J20" s="1377"/>
      <c r="K20" s="1377"/>
      <c r="L20" s="1377"/>
      <c r="M20" s="1377"/>
      <c r="N20" s="1377"/>
      <c r="O20" s="1377"/>
      <c r="P20" s="1377"/>
      <c r="Q20" s="1377"/>
      <c r="R20" s="1378"/>
    </row>
    <row r="21" spans="1:18" ht="11.25" customHeight="1" x14ac:dyDescent="0.25">
      <c r="A21" s="245" t="s">
        <v>164</v>
      </c>
      <c r="B21" s="181"/>
      <c r="C21" s="1377"/>
      <c r="D21" s="1377"/>
      <c r="E21" s="1377"/>
      <c r="F21" s="1377"/>
      <c r="G21" s="1377"/>
      <c r="H21" s="1377"/>
      <c r="I21" s="1377"/>
      <c r="J21" s="1377"/>
      <c r="K21" s="1377"/>
      <c r="L21" s="1377"/>
      <c r="M21" s="1377"/>
      <c r="N21" s="1377"/>
      <c r="O21" s="1377"/>
      <c r="P21" s="1377"/>
      <c r="Q21" s="1377"/>
      <c r="R21" s="1378"/>
    </row>
    <row r="22" spans="1:18" ht="11.25" customHeight="1" x14ac:dyDescent="0.25">
      <c r="A22" s="245" t="s">
        <v>678</v>
      </c>
      <c r="B22" s="555"/>
      <c r="C22" s="1377"/>
      <c r="D22" s="1377"/>
      <c r="E22" s="1377"/>
      <c r="F22" s="1377"/>
      <c r="G22" s="1377"/>
      <c r="H22" s="1377"/>
      <c r="I22" s="1377"/>
      <c r="J22" s="1377"/>
      <c r="K22" s="1377"/>
      <c r="L22" s="1377"/>
      <c r="M22" s="1377"/>
      <c r="N22" s="1377"/>
      <c r="O22" s="1377"/>
      <c r="P22" s="1377"/>
      <c r="Q22" s="1377"/>
      <c r="R22" s="1378"/>
    </row>
    <row r="23" spans="1:18" ht="11.25" customHeight="1" x14ac:dyDescent="0.25">
      <c r="A23" s="245" t="s">
        <v>679</v>
      </c>
      <c r="B23" s="555"/>
      <c r="C23" s="1377"/>
      <c r="D23" s="1377"/>
      <c r="E23" s="1377"/>
      <c r="F23" s="1377"/>
      <c r="G23" s="1377"/>
      <c r="H23" s="1377"/>
      <c r="I23" s="1377"/>
      <c r="J23" s="1377"/>
      <c r="K23" s="1377"/>
      <c r="L23" s="1377"/>
      <c r="M23" s="1377"/>
      <c r="N23" s="1377"/>
      <c r="O23" s="1377"/>
      <c r="P23" s="1377"/>
      <c r="Q23" s="1377"/>
      <c r="R23" s="1378"/>
    </row>
    <row r="24" spans="1:18" ht="11.25" customHeight="1" x14ac:dyDescent="0.25">
      <c r="A24" s="245" t="s">
        <v>313</v>
      </c>
      <c r="B24" s="555"/>
      <c r="C24" s="1377"/>
      <c r="D24" s="1377"/>
      <c r="E24" s="1377"/>
      <c r="F24" s="1377"/>
      <c r="G24" s="1377"/>
      <c r="H24" s="1377"/>
      <c r="I24" s="1377"/>
      <c r="J24" s="1377"/>
      <c r="K24" s="1377"/>
      <c r="L24" s="1377"/>
      <c r="M24" s="1377"/>
      <c r="N24" s="1377"/>
      <c r="O24" s="1377"/>
      <c r="P24" s="1377"/>
      <c r="Q24" s="1377"/>
      <c r="R24" s="1378"/>
    </row>
    <row r="25" spans="1:18" ht="11.25" customHeight="1" x14ac:dyDescent="0.25">
      <c r="A25" s="244" t="s">
        <v>1547</v>
      </c>
      <c r="B25" s="181"/>
      <c r="C25" s="515"/>
      <c r="D25" s="515"/>
      <c r="E25" s="515"/>
      <c r="F25" s="515"/>
      <c r="G25" s="515"/>
      <c r="H25" s="515"/>
      <c r="I25" s="515"/>
      <c r="J25" s="515"/>
      <c r="K25" s="515"/>
      <c r="L25" s="515"/>
      <c r="M25" s="515"/>
      <c r="N25" s="515"/>
      <c r="O25" s="515"/>
      <c r="P25" s="515"/>
      <c r="Q25" s="515"/>
      <c r="R25" s="518"/>
    </row>
    <row r="26" spans="1:18" ht="11.25" customHeight="1" x14ac:dyDescent="0.25">
      <c r="A26" s="245" t="s">
        <v>525</v>
      </c>
      <c r="B26" s="181"/>
      <c r="C26" s="1399"/>
      <c r="D26" s="1399"/>
      <c r="E26" s="1399"/>
      <c r="F26" s="1399"/>
      <c r="G26" s="1399"/>
      <c r="H26" s="1399"/>
      <c r="I26" s="1399"/>
      <c r="J26" s="1399"/>
      <c r="K26" s="1399"/>
      <c r="L26" s="1399"/>
      <c r="M26" s="1399"/>
      <c r="N26" s="1399"/>
      <c r="O26" s="1399"/>
      <c r="P26" s="1399"/>
      <c r="Q26" s="1399"/>
      <c r="R26" s="1403"/>
    </row>
    <row r="27" spans="1:18" ht="11.25" customHeight="1" x14ac:dyDescent="0.25">
      <c r="A27" s="245" t="s">
        <v>526</v>
      </c>
      <c r="B27" s="181"/>
      <c r="C27" s="1399"/>
      <c r="D27" s="1399"/>
      <c r="E27" s="1399"/>
      <c r="F27" s="1399"/>
      <c r="G27" s="1399"/>
      <c r="H27" s="1399"/>
      <c r="I27" s="1399"/>
      <c r="J27" s="1399"/>
      <c r="K27" s="1399"/>
      <c r="L27" s="1399"/>
      <c r="M27" s="1399"/>
      <c r="N27" s="1399"/>
      <c r="O27" s="1399"/>
      <c r="P27" s="1399"/>
      <c r="Q27" s="1399"/>
      <c r="R27" s="1403"/>
    </row>
    <row r="28" spans="1:18" ht="11.25" customHeight="1" x14ac:dyDescent="0.25">
      <c r="A28" s="245" t="s">
        <v>527</v>
      </c>
      <c r="B28" s="181"/>
      <c r="C28" s="1399"/>
      <c r="D28" s="1399"/>
      <c r="E28" s="1399"/>
      <c r="F28" s="1399"/>
      <c r="G28" s="1399"/>
      <c r="H28" s="1399"/>
      <c r="I28" s="1399"/>
      <c r="J28" s="1399"/>
      <c r="K28" s="1399"/>
      <c r="L28" s="1399"/>
      <c r="M28" s="1399"/>
      <c r="N28" s="1399"/>
      <c r="O28" s="1399"/>
      <c r="P28" s="1399"/>
      <c r="Q28" s="1399"/>
      <c r="R28" s="1403"/>
    </row>
    <row r="29" spans="1:18" ht="11.25" customHeight="1" x14ac:dyDescent="0.25">
      <c r="A29" s="245" t="s">
        <v>528</v>
      </c>
      <c r="B29" s="181"/>
      <c r="C29" s="1399"/>
      <c r="D29" s="1399"/>
      <c r="E29" s="1399"/>
      <c r="F29" s="1399"/>
      <c r="G29" s="1399"/>
      <c r="H29" s="1399"/>
      <c r="I29" s="1399"/>
      <c r="J29" s="1399"/>
      <c r="K29" s="1399"/>
      <c r="L29" s="1399"/>
      <c r="M29" s="1399"/>
      <c r="N29" s="1399"/>
      <c r="O29" s="1399"/>
      <c r="P29" s="1399"/>
      <c r="Q29" s="1399"/>
      <c r="R29" s="1403"/>
    </row>
    <row r="30" spans="1:18" ht="11.25" customHeight="1" x14ac:dyDescent="0.25">
      <c r="A30" s="245" t="s">
        <v>529</v>
      </c>
      <c r="B30" s="181"/>
      <c r="C30" s="1399"/>
      <c r="D30" s="1399"/>
      <c r="E30" s="1399"/>
      <c r="F30" s="1399"/>
      <c r="G30" s="1399"/>
      <c r="H30" s="1399"/>
      <c r="I30" s="1399"/>
      <c r="J30" s="1399"/>
      <c r="K30" s="1399"/>
      <c r="L30" s="1399"/>
      <c r="M30" s="1399"/>
      <c r="N30" s="1399"/>
      <c r="O30" s="1399"/>
      <c r="P30" s="1399"/>
      <c r="Q30" s="1399"/>
      <c r="R30" s="1403"/>
    </row>
    <row r="31" spans="1:18" ht="11.25" customHeight="1" x14ac:dyDescent="0.25">
      <c r="A31" s="245" t="s">
        <v>530</v>
      </c>
      <c r="B31" s="555">
        <v>2</v>
      </c>
      <c r="C31" s="1399"/>
      <c r="D31" s="1399"/>
      <c r="E31" s="1399"/>
      <c r="F31" s="1399"/>
      <c r="G31" s="1399"/>
      <c r="H31" s="1399"/>
      <c r="I31" s="1399"/>
      <c r="J31" s="1399"/>
      <c r="K31" s="1399"/>
      <c r="L31" s="1399"/>
      <c r="M31" s="1399"/>
      <c r="N31" s="1399"/>
      <c r="O31" s="1399"/>
      <c r="P31" s="1399"/>
      <c r="Q31" s="1399"/>
      <c r="R31" s="1403"/>
    </row>
    <row r="32" spans="1:18" ht="11.25" customHeight="1" x14ac:dyDescent="0.25">
      <c r="A32" s="257" t="s">
        <v>1548</v>
      </c>
      <c r="B32" s="181"/>
      <c r="C32" s="556"/>
      <c r="D32" s="556"/>
      <c r="E32" s="556"/>
      <c r="F32" s="556"/>
      <c r="G32" s="556"/>
      <c r="H32" s="556"/>
      <c r="I32" s="556"/>
      <c r="J32" s="556"/>
      <c r="K32" s="556"/>
      <c r="L32" s="556"/>
      <c r="M32" s="556"/>
      <c r="N32" s="556"/>
      <c r="O32" s="556"/>
      <c r="P32" s="556"/>
      <c r="Q32" s="556"/>
      <c r="R32" s="557"/>
    </row>
    <row r="33" spans="1:19" ht="15.75" customHeight="1" x14ac:dyDescent="0.25">
      <c r="A33" s="245" t="s">
        <v>1461</v>
      </c>
      <c r="B33" s="181">
        <v>6</v>
      </c>
      <c r="C33" s="1405"/>
      <c r="D33" s="1405"/>
      <c r="E33" s="1405"/>
      <c r="F33" s="1405"/>
      <c r="G33" s="1405"/>
      <c r="H33" s="1405"/>
      <c r="I33" s="1405"/>
      <c r="J33" s="1405"/>
      <c r="K33" s="1405"/>
      <c r="L33" s="1405"/>
      <c r="M33" s="1405"/>
      <c r="N33" s="1405"/>
      <c r="O33" s="1405"/>
      <c r="P33" s="1405"/>
      <c r="Q33" s="1405"/>
      <c r="R33" s="1408"/>
    </row>
    <row r="34" spans="1:19" ht="11.25" customHeight="1" x14ac:dyDescent="0.25">
      <c r="A34" s="245" t="s">
        <v>1462</v>
      </c>
      <c r="B34" s="181">
        <v>6</v>
      </c>
      <c r="C34" s="1405"/>
      <c r="D34" s="1405"/>
      <c r="E34" s="1405"/>
      <c r="F34" s="1405"/>
      <c r="G34" s="1405"/>
      <c r="H34" s="1405"/>
      <c r="I34" s="1405"/>
      <c r="J34" s="1405"/>
      <c r="K34" s="1405"/>
      <c r="L34" s="1405"/>
      <c r="M34" s="1405"/>
      <c r="N34" s="1405"/>
      <c r="O34" s="1405"/>
      <c r="P34" s="1405"/>
      <c r="Q34" s="1405"/>
      <c r="R34" s="1408"/>
    </row>
    <row r="35" spans="1:19" ht="11.25" customHeight="1" x14ac:dyDescent="0.25">
      <c r="A35" s="245" t="s">
        <v>1463</v>
      </c>
      <c r="B35" s="181">
        <v>6</v>
      </c>
      <c r="C35" s="1405"/>
      <c r="D35" s="1405"/>
      <c r="E35" s="1405"/>
      <c r="F35" s="1405"/>
      <c r="G35" s="1405"/>
      <c r="H35" s="1405"/>
      <c r="I35" s="1405"/>
      <c r="J35" s="1405"/>
      <c r="K35" s="1405"/>
      <c r="L35" s="1405"/>
      <c r="M35" s="1405"/>
      <c r="N35" s="1405"/>
      <c r="O35" s="1405"/>
      <c r="P35" s="1405"/>
      <c r="Q35" s="1405"/>
      <c r="R35" s="1408"/>
    </row>
    <row r="36" spans="1:19" ht="11.25" customHeight="1" x14ac:dyDescent="0.25">
      <c r="A36" s="245" t="s">
        <v>1464</v>
      </c>
      <c r="B36" s="181">
        <v>6</v>
      </c>
      <c r="C36" s="1410"/>
      <c r="D36" s="1410"/>
      <c r="E36" s="1410"/>
      <c r="F36" s="1410"/>
      <c r="G36" s="1410"/>
      <c r="H36" s="1410"/>
      <c r="I36" s="1410"/>
      <c r="J36" s="1410"/>
      <c r="K36" s="1410"/>
      <c r="L36" s="1410"/>
      <c r="M36" s="1410"/>
      <c r="N36" s="1410"/>
      <c r="O36" s="1410"/>
      <c r="P36" s="1410"/>
      <c r="Q36" s="1410"/>
      <c r="R36" s="1449"/>
    </row>
    <row r="37" spans="1:19" ht="15.75" customHeight="1" x14ac:dyDescent="0.25">
      <c r="A37" s="558" t="s">
        <v>1549</v>
      </c>
      <c r="B37" s="559"/>
      <c r="C37" s="560"/>
      <c r="D37" s="560"/>
      <c r="E37" s="560"/>
      <c r="F37" s="560"/>
      <c r="G37" s="560"/>
      <c r="H37" s="560"/>
      <c r="I37" s="560"/>
      <c r="J37" s="560"/>
      <c r="K37" s="560"/>
      <c r="L37" s="560"/>
      <c r="M37" s="560"/>
      <c r="N37" s="560"/>
      <c r="O37" s="560"/>
      <c r="P37" s="560"/>
      <c r="Q37" s="560"/>
      <c r="R37" s="561"/>
    </row>
    <row r="38" spans="1:19" ht="11.25" customHeight="1" x14ac:dyDescent="0.25">
      <c r="A38" s="249" t="s">
        <v>312</v>
      </c>
      <c r="B38" s="562">
        <v>3</v>
      </c>
      <c r="C38" s="1450">
        <v>1.2370000000000001E-2</v>
      </c>
      <c r="D38" s="1450"/>
      <c r="E38" s="1450">
        <v>1.2370000000000001E-2</v>
      </c>
      <c r="F38" s="1450">
        <v>3.8000000000000002E-4</v>
      </c>
      <c r="G38" s="1450">
        <v>1.2370000000000001E-2</v>
      </c>
      <c r="H38" s="1450">
        <v>1.2370000000000001E-2</v>
      </c>
      <c r="I38" s="1450"/>
      <c r="J38" s="1450"/>
      <c r="K38" s="1450"/>
      <c r="L38" s="1450"/>
      <c r="M38" s="1450"/>
      <c r="N38" s="1450"/>
      <c r="O38" s="1450"/>
      <c r="P38" s="1450"/>
      <c r="Q38" s="1450"/>
      <c r="R38" s="1451"/>
      <c r="S38" s="338"/>
    </row>
    <row r="39" spans="1:19" ht="11.25" customHeight="1" x14ac:dyDescent="0.25">
      <c r="A39" s="249" t="s">
        <v>1465</v>
      </c>
      <c r="B39" s="562"/>
      <c r="C39" s="1318"/>
      <c r="D39" s="1318"/>
      <c r="E39" s="1318"/>
      <c r="F39" s="1318"/>
      <c r="G39" s="1318"/>
      <c r="H39" s="1318"/>
      <c r="I39" s="1318"/>
      <c r="J39" s="1318"/>
      <c r="K39" s="1318"/>
      <c r="L39" s="1318"/>
      <c r="M39" s="1318"/>
      <c r="N39" s="1318"/>
      <c r="O39" s="1318"/>
      <c r="P39" s="1318"/>
      <c r="Q39" s="1318"/>
      <c r="R39" s="1321"/>
      <c r="S39" s="563">
        <f>SUM(C39:R39)</f>
        <v>0</v>
      </c>
    </row>
    <row r="40" spans="1:19" ht="11.25" customHeight="1" x14ac:dyDescent="0.25">
      <c r="A40" s="249" t="s">
        <v>1466</v>
      </c>
      <c r="B40" s="562"/>
      <c r="C40" s="1318"/>
      <c r="D40" s="1318"/>
      <c r="E40" s="1318"/>
      <c r="F40" s="1318"/>
      <c r="G40" s="1318"/>
      <c r="H40" s="1318"/>
      <c r="I40" s="1318"/>
      <c r="J40" s="1318"/>
      <c r="K40" s="1318"/>
      <c r="L40" s="1318"/>
      <c r="M40" s="1318"/>
      <c r="N40" s="1318"/>
      <c r="O40" s="1318"/>
      <c r="P40" s="1318"/>
      <c r="Q40" s="1318"/>
      <c r="R40" s="1321"/>
      <c r="S40" s="563">
        <f>SUM(C40:R40)</f>
        <v>0</v>
      </c>
    </row>
    <row r="41" spans="1:19" ht="11.25" customHeight="1" x14ac:dyDescent="0.25">
      <c r="A41" s="249" t="s">
        <v>1588</v>
      </c>
      <c r="B41" s="562">
        <v>4</v>
      </c>
      <c r="C41" s="1424">
        <v>0.6</v>
      </c>
      <c r="D41" s="1424"/>
      <c r="E41" s="1424">
        <v>0.6</v>
      </c>
      <c r="F41" s="1424">
        <v>0.4</v>
      </c>
      <c r="G41" s="1424">
        <v>0.6</v>
      </c>
      <c r="H41" s="1424">
        <v>1</v>
      </c>
      <c r="I41" s="1424"/>
      <c r="J41" s="1424"/>
      <c r="K41" s="1424"/>
      <c r="L41" s="1424"/>
      <c r="M41" s="1424"/>
      <c r="N41" s="1424"/>
      <c r="O41" s="1424"/>
      <c r="P41" s="1424"/>
      <c r="Q41" s="1424"/>
      <c r="R41" s="1427"/>
    </row>
    <row r="42" spans="1:19" ht="11.25" customHeight="1" x14ac:dyDescent="0.25">
      <c r="A42" s="249" t="s">
        <v>1506</v>
      </c>
      <c r="B42" s="562"/>
      <c r="C42" s="1331"/>
      <c r="D42" s="1331"/>
      <c r="E42" s="1331"/>
      <c r="F42" s="1331"/>
      <c r="G42" s="1331"/>
      <c r="H42" s="1331"/>
      <c r="I42" s="1331"/>
      <c r="J42" s="1331"/>
      <c r="K42" s="1331"/>
      <c r="L42" s="1331"/>
      <c r="M42" s="1331"/>
      <c r="N42" s="1331"/>
      <c r="O42" s="1331"/>
      <c r="P42" s="1331"/>
      <c r="Q42" s="1331"/>
      <c r="R42" s="1336"/>
      <c r="S42" s="338"/>
    </row>
    <row r="43" spans="1:19" ht="15.75" customHeight="1" x14ac:dyDescent="0.25">
      <c r="A43" s="249" t="s">
        <v>420</v>
      </c>
      <c r="B43" s="562"/>
      <c r="C43" s="1452"/>
      <c r="D43" s="1452"/>
      <c r="E43" s="1452"/>
      <c r="F43" s="1452"/>
      <c r="G43" s="1452"/>
      <c r="H43" s="1452"/>
      <c r="I43" s="1452"/>
      <c r="J43" s="1452"/>
      <c r="K43" s="1452"/>
      <c r="L43" s="1452"/>
      <c r="M43" s="1452"/>
      <c r="N43" s="1452"/>
      <c r="O43" s="1452"/>
      <c r="P43" s="1452"/>
      <c r="Q43" s="1452"/>
      <c r="R43" s="1453"/>
      <c r="S43" s="338"/>
    </row>
    <row r="44" spans="1:19" ht="11.25" customHeight="1" x14ac:dyDescent="0.25">
      <c r="A44" s="249" t="s">
        <v>521</v>
      </c>
      <c r="B44" s="562"/>
      <c r="C44" s="1331"/>
      <c r="D44" s="1331"/>
      <c r="E44" s="1331"/>
      <c r="F44" s="1331"/>
      <c r="G44" s="1331"/>
      <c r="H44" s="1331"/>
      <c r="I44" s="1331"/>
      <c r="J44" s="1331"/>
      <c r="K44" s="1331"/>
      <c r="L44" s="1331"/>
      <c r="M44" s="1331"/>
      <c r="N44" s="1331"/>
      <c r="O44" s="1331"/>
      <c r="P44" s="1331"/>
      <c r="Q44" s="1331"/>
      <c r="R44" s="1336"/>
      <c r="S44" s="338"/>
    </row>
    <row r="45" spans="1:19" ht="11.25" customHeight="1" x14ac:dyDescent="0.25">
      <c r="A45" s="249" t="s">
        <v>522</v>
      </c>
      <c r="B45" s="562"/>
      <c r="C45" s="1331"/>
      <c r="D45" s="1331"/>
      <c r="E45" s="1331"/>
      <c r="F45" s="1331"/>
      <c r="G45" s="1331"/>
      <c r="H45" s="1331"/>
      <c r="I45" s="1331"/>
      <c r="J45" s="1331"/>
      <c r="K45" s="1331"/>
      <c r="L45" s="1331"/>
      <c r="M45" s="1331"/>
      <c r="N45" s="1331"/>
      <c r="O45" s="1331"/>
      <c r="P45" s="1331"/>
      <c r="Q45" s="1331"/>
      <c r="R45" s="1336"/>
      <c r="S45" s="338"/>
    </row>
    <row r="46" spans="1:19" ht="11.25" customHeight="1" x14ac:dyDescent="0.25">
      <c r="A46" s="249" t="s">
        <v>523</v>
      </c>
      <c r="B46" s="562"/>
      <c r="C46" s="1331"/>
      <c r="D46" s="1331"/>
      <c r="E46" s="1331"/>
      <c r="F46" s="1331"/>
      <c r="G46" s="1331"/>
      <c r="H46" s="1331"/>
      <c r="I46" s="1331"/>
      <c r="J46" s="1331"/>
      <c r="K46" s="1331"/>
      <c r="L46" s="1331"/>
      <c r="M46" s="1331"/>
      <c r="N46" s="1331"/>
      <c r="O46" s="1331"/>
      <c r="P46" s="1331"/>
      <c r="Q46" s="1331"/>
      <c r="R46" s="1336"/>
      <c r="S46" s="338"/>
    </row>
    <row r="47" spans="1:19" ht="11.25" customHeight="1" x14ac:dyDescent="0.25">
      <c r="A47" s="249" t="s">
        <v>1505</v>
      </c>
      <c r="B47" s="562"/>
      <c r="C47" s="1331"/>
      <c r="D47" s="1331"/>
      <c r="E47" s="1331"/>
      <c r="F47" s="1331"/>
      <c r="G47" s="1331"/>
      <c r="H47" s="1331"/>
      <c r="I47" s="1331"/>
      <c r="J47" s="1331"/>
      <c r="K47" s="1331"/>
      <c r="L47" s="1331"/>
      <c r="M47" s="1331"/>
      <c r="N47" s="1331"/>
      <c r="O47" s="1331"/>
      <c r="P47" s="1331"/>
      <c r="Q47" s="1331"/>
      <c r="R47" s="1336"/>
      <c r="S47" s="338"/>
    </row>
    <row r="48" spans="1:19" ht="11.25" customHeight="1" x14ac:dyDescent="0.25">
      <c r="A48" s="566" t="s">
        <v>663</v>
      </c>
      <c r="B48" s="555"/>
      <c r="C48" s="564"/>
      <c r="D48" s="564"/>
      <c r="E48" s="564"/>
      <c r="F48" s="564"/>
      <c r="G48" s="564"/>
      <c r="H48" s="564"/>
      <c r="I48" s="564"/>
      <c r="J48" s="564"/>
      <c r="K48" s="564"/>
      <c r="L48" s="564"/>
      <c r="M48" s="564"/>
      <c r="N48" s="564"/>
      <c r="O48" s="564"/>
      <c r="P48" s="564"/>
      <c r="Q48" s="564"/>
      <c r="R48" s="565"/>
      <c r="S48" s="338"/>
    </row>
    <row r="49" spans="1:19" ht="5.0999999999999996" customHeight="1" x14ac:dyDescent="0.25">
      <c r="A49" s="567"/>
      <c r="B49" s="361"/>
      <c r="C49" s="545"/>
      <c r="D49" s="545"/>
      <c r="E49" s="545"/>
      <c r="F49" s="545"/>
      <c r="G49" s="545"/>
      <c r="H49" s="545"/>
      <c r="I49" s="545"/>
      <c r="J49" s="545"/>
      <c r="K49" s="545"/>
      <c r="L49" s="545"/>
      <c r="M49" s="545"/>
      <c r="N49" s="545"/>
      <c r="O49" s="545"/>
      <c r="P49" s="545"/>
      <c r="Q49" s="545"/>
      <c r="R49" s="546"/>
    </row>
    <row r="50" spans="1:19" s="625" customFormat="1" x14ac:dyDescent="0.25">
      <c r="A50" s="1009" t="str">
        <f>head27a</f>
        <v>References</v>
      </c>
      <c r="B50" s="863"/>
      <c r="C50" s="841"/>
      <c r="D50" s="841"/>
      <c r="E50" s="841"/>
      <c r="F50" s="841"/>
      <c r="G50" s="841"/>
      <c r="H50" s="841"/>
      <c r="I50" s="841"/>
      <c r="J50" s="841"/>
      <c r="K50" s="841"/>
      <c r="L50" s="841"/>
      <c r="M50" s="841"/>
      <c r="N50" s="841"/>
      <c r="O50" s="841"/>
      <c r="P50" s="841"/>
      <c r="Q50" s="841"/>
      <c r="R50" s="841"/>
    </row>
    <row r="51" spans="1:19" s="625" customFormat="1" x14ac:dyDescent="0.25">
      <c r="A51" s="1137" t="s">
        <v>533</v>
      </c>
      <c r="B51" s="863"/>
      <c r="C51" s="841"/>
      <c r="D51" s="841"/>
      <c r="E51" s="841"/>
      <c r="F51" s="841"/>
      <c r="G51" s="841"/>
      <c r="H51" s="841"/>
      <c r="I51" s="841"/>
      <c r="J51" s="841"/>
      <c r="K51" s="841"/>
      <c r="L51" s="841"/>
      <c r="M51" s="841"/>
      <c r="N51" s="841"/>
      <c r="O51" s="841"/>
      <c r="P51" s="841"/>
      <c r="Q51" s="841"/>
      <c r="R51" s="841"/>
    </row>
    <row r="52" spans="1:19" s="625" customFormat="1" x14ac:dyDescent="0.25">
      <c r="A52" s="1137" t="s">
        <v>534</v>
      </c>
      <c r="B52" s="863"/>
      <c r="C52" s="841"/>
      <c r="D52" s="841"/>
      <c r="E52" s="841"/>
      <c r="F52" s="841"/>
      <c r="G52" s="841"/>
      <c r="H52" s="841"/>
      <c r="I52" s="841"/>
      <c r="J52" s="841"/>
      <c r="K52" s="841"/>
      <c r="L52" s="841"/>
      <c r="M52" s="841"/>
      <c r="N52" s="841"/>
      <c r="O52" s="841"/>
      <c r="P52" s="841"/>
      <c r="Q52" s="841"/>
      <c r="R52" s="841"/>
    </row>
    <row r="53" spans="1:19" s="625" customFormat="1" x14ac:dyDescent="0.25">
      <c r="A53" s="1010" t="s">
        <v>535</v>
      </c>
      <c r="B53" s="863"/>
      <c r="C53" s="841"/>
      <c r="D53" s="841"/>
      <c r="E53" s="841"/>
      <c r="F53" s="841"/>
      <c r="G53" s="841"/>
      <c r="H53" s="841"/>
      <c r="I53" s="841"/>
      <c r="J53" s="841"/>
      <c r="K53" s="841"/>
      <c r="L53" s="841"/>
      <c r="M53" s="841"/>
      <c r="N53" s="841"/>
      <c r="O53" s="841"/>
      <c r="P53" s="841"/>
      <c r="Q53" s="841"/>
      <c r="R53" s="841"/>
    </row>
    <row r="54" spans="1:19" s="625" customFormat="1" x14ac:dyDescent="0.25">
      <c r="A54" s="1137" t="s">
        <v>536</v>
      </c>
      <c r="B54" s="863"/>
      <c r="C54" s="841"/>
      <c r="D54" s="841"/>
      <c r="E54" s="841"/>
      <c r="F54" s="841"/>
      <c r="G54" s="841"/>
      <c r="H54" s="841"/>
      <c r="I54" s="841"/>
      <c r="J54" s="841"/>
      <c r="K54" s="841"/>
      <c r="L54" s="841"/>
      <c r="M54" s="841"/>
      <c r="N54" s="841"/>
      <c r="O54" s="841"/>
      <c r="P54" s="841"/>
      <c r="Q54" s="841"/>
      <c r="R54" s="841"/>
    </row>
    <row r="55" spans="1:19" s="625" customFormat="1" x14ac:dyDescent="0.25">
      <c r="A55" s="962" t="s">
        <v>1612</v>
      </c>
      <c r="B55" s="863"/>
      <c r="C55" s="841"/>
      <c r="D55" s="841"/>
      <c r="E55" s="841"/>
      <c r="F55" s="841"/>
      <c r="G55" s="841"/>
      <c r="H55" s="841"/>
      <c r="I55" s="841"/>
      <c r="J55" s="841"/>
      <c r="K55" s="841"/>
      <c r="L55" s="841"/>
      <c r="M55" s="841"/>
      <c r="N55" s="841"/>
      <c r="O55" s="841"/>
      <c r="P55" s="841"/>
      <c r="Q55" s="841"/>
      <c r="R55" s="841"/>
    </row>
    <row r="56" spans="1:19" s="625" customFormat="1" x14ac:dyDescent="0.25">
      <c r="A56" s="962" t="s">
        <v>1614</v>
      </c>
      <c r="B56" s="863"/>
      <c r="C56" s="841"/>
      <c r="D56" s="841"/>
      <c r="E56" s="841"/>
      <c r="F56" s="841"/>
      <c r="G56" s="841"/>
      <c r="H56" s="841"/>
      <c r="I56" s="841"/>
      <c r="J56" s="841"/>
      <c r="K56" s="841"/>
      <c r="L56" s="841"/>
      <c r="M56" s="841"/>
      <c r="N56" s="841"/>
      <c r="O56" s="841"/>
      <c r="P56" s="841"/>
      <c r="Q56" s="841"/>
      <c r="R56" s="841"/>
    </row>
    <row r="57" spans="1:19" ht="15.75" customHeight="1" x14ac:dyDescent="0.25">
      <c r="A57" s="1764"/>
      <c r="B57" s="1764"/>
      <c r="C57" s="748"/>
      <c r="D57" s="748"/>
      <c r="E57" s="748"/>
      <c r="F57" s="748"/>
      <c r="G57" s="748"/>
      <c r="H57" s="748"/>
      <c r="I57" s="748"/>
      <c r="J57" s="748"/>
      <c r="K57" s="748"/>
      <c r="L57" s="748"/>
      <c r="M57" s="748"/>
      <c r="N57" s="748"/>
      <c r="O57" s="748"/>
      <c r="P57" s="748"/>
      <c r="Q57" s="748"/>
      <c r="R57" s="748"/>
      <c r="S57" s="328"/>
    </row>
    <row r="58" spans="1:19" ht="38.25" customHeight="1" x14ac:dyDescent="0.25">
      <c r="A58" s="1765"/>
      <c r="B58" s="1766"/>
      <c r="C58" s="1767"/>
      <c r="D58" s="1767"/>
      <c r="E58" s="1767"/>
      <c r="F58" s="1767"/>
      <c r="G58" s="1767"/>
      <c r="H58" s="1767"/>
      <c r="I58" s="1767"/>
      <c r="J58" s="1767"/>
      <c r="K58" s="1767"/>
      <c r="L58" s="1767"/>
      <c r="M58" s="1767"/>
      <c r="N58" s="1767"/>
      <c r="O58" s="1767"/>
      <c r="P58" s="1767"/>
      <c r="Q58" s="1767"/>
      <c r="R58" s="1767"/>
      <c r="S58" s="328"/>
    </row>
    <row r="59" spans="1:19" ht="11.25" customHeight="1" x14ac:dyDescent="0.25">
      <c r="A59" s="1775"/>
      <c r="B59" s="1769"/>
      <c r="C59" s="234"/>
      <c r="D59" s="234"/>
      <c r="E59" s="234"/>
      <c r="F59" s="234"/>
      <c r="G59" s="234"/>
      <c r="H59" s="234"/>
      <c r="I59" s="234"/>
      <c r="J59" s="234"/>
      <c r="K59" s="234"/>
      <c r="L59" s="234"/>
      <c r="M59" s="234"/>
      <c r="N59" s="234"/>
      <c r="O59" s="234"/>
      <c r="P59" s="234"/>
      <c r="Q59" s="234"/>
      <c r="R59" s="234"/>
      <c r="S59" s="328"/>
    </row>
    <row r="60" spans="1:19" ht="11.25" customHeight="1" x14ac:dyDescent="0.25">
      <c r="A60" s="1775"/>
      <c r="B60" s="1769"/>
      <c r="C60" s="234"/>
      <c r="D60" s="234"/>
      <c r="E60" s="234"/>
      <c r="F60" s="234"/>
      <c r="G60" s="234"/>
      <c r="H60" s="234"/>
      <c r="I60" s="234"/>
      <c r="J60" s="234"/>
      <c r="K60" s="234"/>
      <c r="L60" s="234"/>
      <c r="M60" s="234"/>
      <c r="N60" s="234"/>
      <c r="O60" s="234"/>
      <c r="P60" s="234"/>
      <c r="Q60" s="234"/>
      <c r="R60" s="234"/>
      <c r="S60" s="328"/>
    </row>
    <row r="61" spans="1:19" ht="11.25" customHeight="1" x14ac:dyDescent="0.25">
      <c r="A61" s="1768"/>
      <c r="B61" s="1769"/>
      <c r="C61" s="1588"/>
      <c r="D61" s="1588"/>
      <c r="E61" s="1588"/>
      <c r="F61" s="1588"/>
      <c r="G61" s="1588"/>
      <c r="H61" s="1588"/>
      <c r="I61" s="1588"/>
      <c r="J61" s="1588"/>
      <c r="K61" s="1588"/>
      <c r="L61" s="1588"/>
      <c r="M61" s="1588"/>
      <c r="N61" s="1588"/>
      <c r="O61" s="1588"/>
      <c r="P61" s="1588"/>
      <c r="Q61" s="1588"/>
      <c r="R61" s="1588"/>
      <c r="S61" s="328"/>
    </row>
    <row r="62" spans="1:19" ht="11.25" customHeight="1" x14ac:dyDescent="0.25">
      <c r="A62" s="1768"/>
      <c r="B62" s="1769"/>
      <c r="C62" s="1588"/>
      <c r="D62" s="1588"/>
      <c r="E62" s="1588"/>
      <c r="F62" s="1588"/>
      <c r="G62" s="1588"/>
      <c r="H62" s="1588"/>
      <c r="I62" s="1588"/>
      <c r="J62" s="1588"/>
      <c r="K62" s="1588"/>
      <c r="L62" s="1588"/>
      <c r="M62" s="1588"/>
      <c r="N62" s="1588"/>
      <c r="O62" s="1588"/>
      <c r="P62" s="1588"/>
      <c r="Q62" s="1588"/>
      <c r="R62" s="1588"/>
      <c r="S62" s="328"/>
    </row>
    <row r="63" spans="1:19" ht="11.25" customHeight="1" x14ac:dyDescent="0.25">
      <c r="A63" s="1768"/>
      <c r="B63" s="1769"/>
      <c r="C63" s="1588"/>
      <c r="D63" s="1588"/>
      <c r="E63" s="1588"/>
      <c r="F63" s="1588"/>
      <c r="G63" s="1588"/>
      <c r="H63" s="1588"/>
      <c r="I63" s="1588"/>
      <c r="J63" s="1588"/>
      <c r="K63" s="1588"/>
      <c r="L63" s="1588"/>
      <c r="M63" s="1588"/>
      <c r="N63" s="1588"/>
      <c r="O63" s="1588"/>
      <c r="P63" s="1588"/>
      <c r="Q63" s="1588"/>
      <c r="R63" s="1588"/>
      <c r="S63" s="328"/>
    </row>
    <row r="64" spans="1:19" ht="11.25" customHeight="1" x14ac:dyDescent="0.25">
      <c r="A64" s="1768"/>
      <c r="B64" s="1769"/>
      <c r="C64" s="1588"/>
      <c r="D64" s="1588"/>
      <c r="E64" s="1588"/>
      <c r="F64" s="1588"/>
      <c r="G64" s="1588"/>
      <c r="H64" s="1588"/>
      <c r="I64" s="1588"/>
      <c r="J64" s="1588"/>
      <c r="K64" s="1588"/>
      <c r="L64" s="1588"/>
      <c r="M64" s="1588"/>
      <c r="N64" s="1588"/>
      <c r="O64" s="1588"/>
      <c r="P64" s="1588"/>
      <c r="Q64" s="1588"/>
      <c r="R64" s="1588"/>
      <c r="S64" s="328"/>
    </row>
    <row r="65" spans="1:19" ht="11.25" customHeight="1" x14ac:dyDescent="0.25">
      <c r="A65" s="1768"/>
      <c r="B65" s="1769"/>
      <c r="C65" s="1588"/>
      <c r="D65" s="1588"/>
      <c r="E65" s="1588"/>
      <c r="F65" s="1588"/>
      <c r="G65" s="1588"/>
      <c r="H65" s="1588"/>
      <c r="I65" s="1588"/>
      <c r="J65" s="1588"/>
      <c r="K65" s="1588"/>
      <c r="L65" s="1588"/>
      <c r="M65" s="1588"/>
      <c r="N65" s="1588"/>
      <c r="O65" s="1588"/>
      <c r="P65" s="1588"/>
      <c r="Q65" s="1588"/>
      <c r="R65" s="1588"/>
      <c r="S65" s="328"/>
    </row>
    <row r="66" spans="1:19" ht="11.25" customHeight="1" x14ac:dyDescent="0.25">
      <c r="A66" s="1768"/>
      <c r="B66" s="1769"/>
      <c r="C66" s="1588"/>
      <c r="D66" s="1588"/>
      <c r="E66" s="1588"/>
      <c r="F66" s="1588"/>
      <c r="G66" s="1588"/>
      <c r="H66" s="1588"/>
      <c r="I66" s="1588"/>
      <c r="J66" s="1588"/>
      <c r="K66" s="1588"/>
      <c r="L66" s="1588"/>
      <c r="M66" s="1588"/>
      <c r="N66" s="1588"/>
      <c r="O66" s="1588"/>
      <c r="P66" s="1588"/>
      <c r="Q66" s="1588"/>
      <c r="R66" s="1588"/>
      <c r="S66" s="328"/>
    </row>
    <row r="67" spans="1:19" ht="11.25" customHeight="1" x14ac:dyDescent="0.25">
      <c r="A67" s="1768"/>
      <c r="B67" s="1769"/>
      <c r="C67" s="1588"/>
      <c r="D67" s="1588"/>
      <c r="E67" s="1588"/>
      <c r="F67" s="1588"/>
      <c r="G67" s="1588"/>
      <c r="H67" s="1588"/>
      <c r="I67" s="1588"/>
      <c r="J67" s="1588"/>
      <c r="K67" s="1588"/>
      <c r="L67" s="1588"/>
      <c r="M67" s="1588"/>
      <c r="N67" s="1588"/>
      <c r="O67" s="1588"/>
      <c r="P67" s="1588"/>
      <c r="Q67" s="1588"/>
      <c r="R67" s="1588"/>
      <c r="S67" s="328"/>
    </row>
    <row r="68" spans="1:19" ht="11.25" customHeight="1" x14ac:dyDescent="0.25">
      <c r="A68" s="1768"/>
      <c r="B68" s="1769"/>
      <c r="C68" s="1588"/>
      <c r="D68" s="1588"/>
      <c r="E68" s="1588"/>
      <c r="F68" s="1588"/>
      <c r="G68" s="1588"/>
      <c r="H68" s="1588"/>
      <c r="I68" s="1588"/>
      <c r="J68" s="1588"/>
      <c r="K68" s="1588"/>
      <c r="L68" s="1588"/>
      <c r="M68" s="1588"/>
      <c r="N68" s="1588"/>
      <c r="O68" s="1588"/>
      <c r="P68" s="1588"/>
      <c r="Q68" s="1588"/>
      <c r="R68" s="1588"/>
      <c r="S68" s="328"/>
    </row>
    <row r="69" spans="1:19" ht="11.25" customHeight="1" x14ac:dyDescent="0.25">
      <c r="A69" s="1768"/>
      <c r="B69" s="1769"/>
      <c r="C69" s="1588"/>
      <c r="D69" s="1588"/>
      <c r="E69" s="1588"/>
      <c r="F69" s="1588"/>
      <c r="G69" s="1588"/>
      <c r="H69" s="1588"/>
      <c r="I69" s="1588"/>
      <c r="J69" s="1588"/>
      <c r="K69" s="1588"/>
      <c r="L69" s="1588"/>
      <c r="M69" s="1588"/>
      <c r="N69" s="1588"/>
      <c r="O69" s="1588"/>
      <c r="P69" s="1588"/>
      <c r="Q69" s="1588"/>
      <c r="R69" s="1588"/>
      <c r="S69" s="328"/>
    </row>
    <row r="70" spans="1:19" ht="11.25" customHeight="1" x14ac:dyDescent="0.25">
      <c r="A70" s="1768"/>
      <c r="B70" s="1769"/>
      <c r="C70" s="1588"/>
      <c r="D70" s="1588"/>
      <c r="E70" s="1588"/>
      <c r="F70" s="1588"/>
      <c r="G70" s="1588"/>
      <c r="H70" s="1588"/>
      <c r="I70" s="1588"/>
      <c r="J70" s="1588"/>
      <c r="K70" s="1588"/>
      <c r="L70" s="1588"/>
      <c r="M70" s="1588"/>
      <c r="N70" s="1588"/>
      <c r="O70" s="1588"/>
      <c r="P70" s="1588"/>
      <c r="Q70" s="1588"/>
      <c r="R70" s="1588"/>
      <c r="S70" s="328"/>
    </row>
    <row r="71" spans="1:19" ht="11.25" customHeight="1" x14ac:dyDescent="0.25">
      <c r="A71" s="1768"/>
      <c r="B71" s="1769"/>
      <c r="C71" s="1588"/>
      <c r="D71" s="1588"/>
      <c r="E71" s="1588"/>
      <c r="F71" s="1588"/>
      <c r="G71" s="1588"/>
      <c r="H71" s="1588"/>
      <c r="I71" s="1588"/>
      <c r="J71" s="1588"/>
      <c r="K71" s="1588"/>
      <c r="L71" s="1588"/>
      <c r="M71" s="1588"/>
      <c r="N71" s="1588"/>
      <c r="O71" s="1588"/>
      <c r="P71" s="1588"/>
      <c r="Q71" s="1588"/>
      <c r="R71" s="1588"/>
      <c r="S71" s="328"/>
    </row>
    <row r="72" spans="1:19" ht="11.25" customHeight="1" x14ac:dyDescent="0.25">
      <c r="A72" s="1768"/>
      <c r="B72" s="1769"/>
      <c r="C72" s="1776"/>
      <c r="D72" s="1776"/>
      <c r="E72" s="1776"/>
      <c r="F72" s="1776"/>
      <c r="G72" s="1776"/>
      <c r="H72" s="1776"/>
      <c r="I72" s="1777"/>
      <c r="J72" s="1776"/>
      <c r="K72" s="1776"/>
      <c r="L72" s="1776"/>
      <c r="M72" s="1776"/>
      <c r="N72" s="1776"/>
      <c r="O72" s="1776"/>
      <c r="P72" s="1776"/>
      <c r="Q72" s="1776"/>
      <c r="R72" s="1776"/>
      <c r="S72" s="328"/>
    </row>
    <row r="73" spans="1:19" ht="11.25" customHeight="1" x14ac:dyDescent="0.25">
      <c r="A73" s="1768"/>
      <c r="B73" s="1769"/>
      <c r="C73" s="1778"/>
      <c r="D73" s="1778"/>
      <c r="E73" s="1778"/>
      <c r="F73" s="1778"/>
      <c r="G73" s="1778"/>
      <c r="H73" s="1778"/>
      <c r="I73" s="1778"/>
      <c r="J73" s="1778"/>
      <c r="K73" s="1778"/>
      <c r="L73" s="1778"/>
      <c r="M73" s="1778"/>
      <c r="N73" s="1778"/>
      <c r="O73" s="1778"/>
      <c r="P73" s="1778"/>
      <c r="Q73" s="1778"/>
      <c r="R73" s="1778"/>
      <c r="S73" s="328"/>
    </row>
    <row r="74" spans="1:19" ht="11.25" customHeight="1" x14ac:dyDescent="0.25">
      <c r="A74" s="1768"/>
      <c r="B74" s="1769"/>
      <c r="C74" s="1779"/>
      <c r="D74" s="1779"/>
      <c r="E74" s="1779"/>
      <c r="F74" s="1779"/>
      <c r="G74" s="1779"/>
      <c r="H74" s="1779"/>
      <c r="I74" s="1779"/>
      <c r="J74" s="1779"/>
      <c r="K74" s="1779"/>
      <c r="L74" s="1779"/>
      <c r="M74" s="1779"/>
      <c r="N74" s="1779"/>
      <c r="O74" s="1779"/>
      <c r="P74" s="1779"/>
      <c r="Q74" s="1779"/>
      <c r="R74" s="1779"/>
      <c r="S74" s="328"/>
    </row>
    <row r="75" spans="1:19" ht="11.25" customHeight="1" x14ac:dyDescent="0.25">
      <c r="A75" s="1768"/>
      <c r="B75" s="1769"/>
      <c r="C75" s="1778"/>
      <c r="D75" s="1778"/>
      <c r="E75" s="1778"/>
      <c r="F75" s="1778"/>
      <c r="G75" s="1778"/>
      <c r="H75" s="1778"/>
      <c r="I75" s="1778"/>
      <c r="J75" s="1778"/>
      <c r="K75" s="1778"/>
      <c r="L75" s="1778"/>
      <c r="M75" s="1778"/>
      <c r="N75" s="1778"/>
      <c r="O75" s="1778"/>
      <c r="P75" s="1778"/>
      <c r="Q75" s="1778"/>
      <c r="R75" s="1778"/>
      <c r="S75" s="328"/>
    </row>
    <row r="76" spans="1:19" ht="11.25" customHeight="1" x14ac:dyDescent="0.25">
      <c r="A76" s="1768"/>
      <c r="B76" s="1769"/>
      <c r="C76" s="1778"/>
      <c r="D76" s="1778"/>
      <c r="E76" s="1778"/>
      <c r="F76" s="1778"/>
      <c r="G76" s="1778"/>
      <c r="H76" s="1778"/>
      <c r="I76" s="1778"/>
      <c r="J76" s="1778"/>
      <c r="K76" s="1778"/>
      <c r="L76" s="1778"/>
      <c r="M76" s="1778"/>
      <c r="N76" s="1778"/>
      <c r="O76" s="1778"/>
      <c r="P76" s="1778"/>
      <c r="Q76" s="1778"/>
      <c r="R76" s="1778"/>
      <c r="S76" s="328"/>
    </row>
    <row r="77" spans="1:19" ht="11.25" customHeight="1" x14ac:dyDescent="0.25">
      <c r="A77" s="1768"/>
      <c r="B77" s="1769"/>
      <c r="C77" s="1778"/>
      <c r="D77" s="1778"/>
      <c r="E77" s="1778"/>
      <c r="F77" s="1778"/>
      <c r="G77" s="1778"/>
      <c r="H77" s="1778"/>
      <c r="I77" s="1778"/>
      <c r="J77" s="1778"/>
      <c r="K77" s="1778"/>
      <c r="L77" s="1778"/>
      <c r="M77" s="1778"/>
      <c r="N77" s="1778"/>
      <c r="O77" s="1778"/>
      <c r="P77" s="1778"/>
      <c r="Q77" s="1778"/>
      <c r="R77" s="1778"/>
      <c r="S77" s="328"/>
    </row>
    <row r="78" spans="1:19" ht="11.25" customHeight="1" x14ac:dyDescent="0.25">
      <c r="A78" s="1768"/>
      <c r="B78" s="1772"/>
      <c r="C78" s="1778"/>
      <c r="D78" s="1778"/>
      <c r="E78" s="1778"/>
      <c r="F78" s="1778"/>
      <c r="G78" s="1778"/>
      <c r="H78" s="1778"/>
      <c r="I78" s="1778"/>
      <c r="J78" s="1778"/>
      <c r="K78" s="1778"/>
      <c r="L78" s="1778"/>
      <c r="M78" s="1778"/>
      <c r="N78" s="1778"/>
      <c r="O78" s="1778"/>
      <c r="P78" s="1778"/>
      <c r="Q78" s="1778"/>
      <c r="R78" s="1778"/>
      <c r="S78" s="328"/>
    </row>
    <row r="79" spans="1:19" ht="11.25" customHeight="1" x14ac:dyDescent="0.25">
      <c r="A79" s="1768"/>
      <c r="B79" s="1772"/>
      <c r="C79" s="1778"/>
      <c r="D79" s="1778"/>
      <c r="E79" s="1778"/>
      <c r="F79" s="1778"/>
      <c r="G79" s="1778"/>
      <c r="H79" s="1778"/>
      <c r="I79" s="1778"/>
      <c r="J79" s="1778"/>
      <c r="K79" s="1778"/>
      <c r="L79" s="1778"/>
      <c r="M79" s="1778"/>
      <c r="N79" s="1778"/>
      <c r="O79" s="1778"/>
      <c r="P79" s="1778"/>
      <c r="Q79" s="1778"/>
      <c r="R79" s="1778"/>
      <c r="S79" s="328"/>
    </row>
    <row r="80" spans="1:19" ht="11.25" customHeight="1" x14ac:dyDescent="0.25">
      <c r="A80" s="1768"/>
      <c r="B80" s="1772"/>
      <c r="C80" s="1778"/>
      <c r="D80" s="1778"/>
      <c r="E80" s="1778"/>
      <c r="F80" s="1778"/>
      <c r="G80" s="1778"/>
      <c r="H80" s="1778"/>
      <c r="I80" s="1778"/>
      <c r="J80" s="1778"/>
      <c r="K80" s="1778"/>
      <c r="L80" s="1778"/>
      <c r="M80" s="1778"/>
      <c r="N80" s="1778"/>
      <c r="O80" s="1778"/>
      <c r="P80" s="1778"/>
      <c r="Q80" s="1778"/>
      <c r="R80" s="1778"/>
      <c r="S80" s="328"/>
    </row>
    <row r="81" spans="1:19" ht="11.25" customHeight="1" x14ac:dyDescent="0.25">
      <c r="A81" s="1775"/>
      <c r="B81" s="1769"/>
      <c r="C81" s="519"/>
      <c r="D81" s="519"/>
      <c r="E81" s="519"/>
      <c r="F81" s="519"/>
      <c r="G81" s="519"/>
      <c r="H81" s="519"/>
      <c r="I81" s="519"/>
      <c r="J81" s="519"/>
      <c r="K81" s="519"/>
      <c r="L81" s="519"/>
      <c r="M81" s="519"/>
      <c r="N81" s="519"/>
      <c r="O81" s="519"/>
      <c r="P81" s="519"/>
      <c r="Q81" s="519"/>
      <c r="R81" s="519"/>
      <c r="S81" s="328"/>
    </row>
    <row r="82" spans="1:19" ht="11.25" customHeight="1" x14ac:dyDescent="0.25">
      <c r="A82" s="1768"/>
      <c r="B82" s="1769"/>
      <c r="C82" s="1780"/>
      <c r="D82" s="1780"/>
      <c r="E82" s="1780"/>
      <c r="F82" s="1780"/>
      <c r="G82" s="1780"/>
      <c r="H82" s="1780"/>
      <c r="I82" s="1780"/>
      <c r="J82" s="1780"/>
      <c r="K82" s="1780"/>
      <c r="L82" s="1780"/>
      <c r="M82" s="1780"/>
      <c r="N82" s="1780"/>
      <c r="O82" s="1780"/>
      <c r="P82" s="1780"/>
      <c r="Q82" s="1780"/>
      <c r="R82" s="1780"/>
      <c r="S82" s="328"/>
    </row>
    <row r="83" spans="1:19" ht="11.25" customHeight="1" x14ac:dyDescent="0.25">
      <c r="A83" s="1768"/>
      <c r="B83" s="1769"/>
      <c r="C83" s="1780"/>
      <c r="D83" s="1780"/>
      <c r="E83" s="1780"/>
      <c r="F83" s="1780"/>
      <c r="G83" s="1780"/>
      <c r="H83" s="1780"/>
      <c r="I83" s="1780"/>
      <c r="J83" s="1780"/>
      <c r="K83" s="1780"/>
      <c r="L83" s="1780"/>
      <c r="M83" s="1780"/>
      <c r="N83" s="1780"/>
      <c r="O83" s="1780"/>
      <c r="P83" s="1780"/>
      <c r="Q83" s="1780"/>
      <c r="R83" s="1780"/>
      <c r="S83" s="328"/>
    </row>
    <row r="84" spans="1:19" ht="11.25" customHeight="1" x14ac:dyDescent="0.25">
      <c r="A84" s="1768"/>
      <c r="B84" s="1769"/>
      <c r="C84" s="1780"/>
      <c r="D84" s="1780"/>
      <c r="E84" s="1780"/>
      <c r="F84" s="1780"/>
      <c r="G84" s="1780"/>
      <c r="H84" s="1780"/>
      <c r="I84" s="1780"/>
      <c r="J84" s="1780"/>
      <c r="K84" s="1780"/>
      <c r="L84" s="1780"/>
      <c r="M84" s="1780"/>
      <c r="N84" s="1780"/>
      <c r="O84" s="1780"/>
      <c r="P84" s="1780"/>
      <c r="Q84" s="1780"/>
      <c r="R84" s="1780"/>
      <c r="S84" s="328"/>
    </row>
    <row r="85" spans="1:19" ht="11.25" customHeight="1" x14ac:dyDescent="0.25">
      <c r="A85" s="1768"/>
      <c r="B85" s="1769"/>
      <c r="C85" s="1780"/>
      <c r="D85" s="1780"/>
      <c r="E85" s="1780"/>
      <c r="F85" s="1780"/>
      <c r="G85" s="1780"/>
      <c r="H85" s="1780"/>
      <c r="I85" s="1780"/>
      <c r="J85" s="1780"/>
      <c r="K85" s="1780"/>
      <c r="L85" s="1780"/>
      <c r="M85" s="1780"/>
      <c r="N85" s="1780"/>
      <c r="O85" s="1780"/>
      <c r="P85" s="1780"/>
      <c r="Q85" s="1780"/>
      <c r="R85" s="1780"/>
      <c r="S85" s="328"/>
    </row>
    <row r="86" spans="1:19" ht="11.25" customHeight="1" x14ac:dyDescent="0.25">
      <c r="A86" s="1768"/>
      <c r="B86" s="1769"/>
      <c r="C86" s="1780"/>
      <c r="D86" s="1780"/>
      <c r="E86" s="1780"/>
      <c r="F86" s="1780"/>
      <c r="G86" s="1780"/>
      <c r="H86" s="1780"/>
      <c r="I86" s="1780"/>
      <c r="J86" s="1780"/>
      <c r="K86" s="1780"/>
      <c r="L86" s="1780"/>
      <c r="M86" s="1780"/>
      <c r="N86" s="1780"/>
      <c r="O86" s="1780"/>
      <c r="P86" s="1780"/>
      <c r="Q86" s="1780"/>
      <c r="R86" s="1780"/>
      <c r="S86" s="328"/>
    </row>
    <row r="87" spans="1:19" ht="11.25" customHeight="1" x14ac:dyDescent="0.25">
      <c r="A87" s="1768"/>
      <c r="B87" s="1772"/>
      <c r="C87" s="1780"/>
      <c r="D87" s="1780"/>
      <c r="E87" s="1780"/>
      <c r="F87" s="1780"/>
      <c r="G87" s="1780"/>
      <c r="H87" s="1780"/>
      <c r="I87" s="1780"/>
      <c r="J87" s="1780"/>
      <c r="K87" s="1780"/>
      <c r="L87" s="1780"/>
      <c r="M87" s="1780"/>
      <c r="N87" s="1780"/>
      <c r="O87" s="1780"/>
      <c r="P87" s="1780"/>
      <c r="Q87" s="1780"/>
      <c r="R87" s="1780"/>
      <c r="S87" s="328"/>
    </row>
    <row r="88" spans="1:19" ht="11.25" customHeight="1" x14ac:dyDescent="0.25">
      <c r="A88" s="1773"/>
      <c r="B88" s="1769"/>
      <c r="C88" s="1770"/>
      <c r="D88" s="1770"/>
      <c r="E88" s="1770"/>
      <c r="F88" s="1770"/>
      <c r="G88" s="1770"/>
      <c r="H88" s="1770"/>
      <c r="I88" s="1770"/>
      <c r="J88" s="1770"/>
      <c r="K88" s="1770"/>
      <c r="L88" s="1770"/>
      <c r="M88" s="1770"/>
      <c r="N88" s="1770"/>
      <c r="O88" s="1770"/>
      <c r="P88" s="1770"/>
      <c r="Q88" s="1770"/>
      <c r="R88" s="1770"/>
      <c r="S88" s="328"/>
    </row>
    <row r="89" spans="1:19" ht="11.25" customHeight="1" x14ac:dyDescent="0.25">
      <c r="A89" s="1768"/>
      <c r="B89" s="1769"/>
      <c r="C89" s="1781"/>
      <c r="D89" s="1781"/>
      <c r="E89" s="1781"/>
      <c r="F89" s="1781"/>
      <c r="G89" s="1781"/>
      <c r="H89" s="1781"/>
      <c r="I89" s="1781"/>
      <c r="J89" s="1781"/>
      <c r="K89" s="1781"/>
      <c r="L89" s="1781"/>
      <c r="M89" s="1781"/>
      <c r="N89" s="1781"/>
      <c r="O89" s="1781"/>
      <c r="P89" s="1781"/>
      <c r="Q89" s="1781"/>
      <c r="R89" s="1781"/>
      <c r="S89" s="328"/>
    </row>
    <row r="90" spans="1:19" ht="11.25" customHeight="1" x14ac:dyDescent="0.25">
      <c r="A90" s="1768"/>
      <c r="B90" s="1769"/>
      <c r="C90" s="1781"/>
      <c r="D90" s="1781"/>
      <c r="E90" s="1781"/>
      <c r="F90" s="1781"/>
      <c r="G90" s="1781"/>
      <c r="H90" s="1781"/>
      <c r="I90" s="1781"/>
      <c r="J90" s="1781"/>
      <c r="K90" s="1781"/>
      <c r="L90" s="1781"/>
      <c r="M90" s="1781"/>
      <c r="N90" s="1781"/>
      <c r="O90" s="1781"/>
      <c r="P90" s="1781"/>
      <c r="Q90" s="1781"/>
      <c r="R90" s="1781"/>
      <c r="S90" s="328"/>
    </row>
    <row r="91" spans="1:19" ht="11.25" customHeight="1" x14ac:dyDescent="0.25">
      <c r="A91" s="1768"/>
      <c r="B91" s="1769"/>
      <c r="C91" s="1781"/>
      <c r="D91" s="1781"/>
      <c r="E91" s="1781"/>
      <c r="F91" s="1781"/>
      <c r="G91" s="1781"/>
      <c r="H91" s="1781"/>
      <c r="I91" s="1781"/>
      <c r="J91" s="1781"/>
      <c r="K91" s="1781"/>
      <c r="L91" s="1781"/>
      <c r="M91" s="1781"/>
      <c r="N91" s="1781"/>
      <c r="O91" s="1781"/>
      <c r="P91" s="1781"/>
      <c r="Q91" s="1781"/>
      <c r="R91" s="1781"/>
      <c r="S91" s="328"/>
    </row>
    <row r="92" spans="1:19" ht="11.25" customHeight="1" x14ac:dyDescent="0.25">
      <c r="A92" s="1768"/>
      <c r="B92" s="1782"/>
      <c r="C92" s="1783"/>
      <c r="D92" s="1783"/>
      <c r="E92" s="1783"/>
      <c r="F92" s="1783"/>
      <c r="G92" s="1783"/>
      <c r="H92" s="1783"/>
      <c r="I92" s="1783"/>
      <c r="J92" s="1783"/>
      <c r="K92" s="1783"/>
      <c r="L92" s="1783"/>
      <c r="M92" s="1783"/>
      <c r="N92" s="1783"/>
      <c r="O92" s="1783"/>
      <c r="P92" s="1783"/>
      <c r="Q92" s="1783"/>
      <c r="R92" s="1783"/>
      <c r="S92" s="328"/>
    </row>
    <row r="93" spans="1:19" ht="11.25" customHeight="1" x14ac:dyDescent="0.25">
      <c r="A93" s="1775"/>
      <c r="B93" s="1782"/>
      <c r="C93" s="1771"/>
      <c r="D93" s="1771"/>
      <c r="E93" s="1771"/>
      <c r="F93" s="1771"/>
      <c r="G93" s="1771"/>
      <c r="H93" s="1771"/>
      <c r="I93" s="1771"/>
      <c r="J93" s="1771"/>
      <c r="K93" s="1771"/>
      <c r="L93" s="1771"/>
      <c r="M93" s="1771"/>
      <c r="N93" s="1771"/>
      <c r="O93" s="1771"/>
      <c r="P93" s="1771"/>
      <c r="Q93" s="1771"/>
      <c r="R93" s="1771"/>
      <c r="S93" s="328"/>
    </row>
    <row r="94" spans="1:19" ht="11.25" customHeight="1" x14ac:dyDescent="0.25">
      <c r="A94" s="1768"/>
      <c r="B94" s="1772"/>
      <c r="C94" s="1784"/>
      <c r="D94" s="1784"/>
      <c r="E94" s="1784"/>
      <c r="F94" s="1784"/>
      <c r="G94" s="1784"/>
      <c r="H94" s="1784"/>
      <c r="I94" s="1784"/>
      <c r="J94" s="1784"/>
      <c r="K94" s="1784"/>
      <c r="L94" s="1784"/>
      <c r="M94" s="1784"/>
      <c r="N94" s="1784"/>
      <c r="O94" s="1784"/>
      <c r="P94" s="1784"/>
      <c r="Q94" s="1784"/>
      <c r="R94" s="1784"/>
      <c r="S94" s="328"/>
    </row>
    <row r="95" spans="1:19" ht="11.25" customHeight="1" x14ac:dyDescent="0.25">
      <c r="A95" s="1768"/>
      <c r="B95" s="1772"/>
      <c r="C95" s="1067"/>
      <c r="D95" s="1067"/>
      <c r="E95" s="1067"/>
      <c r="F95" s="1067"/>
      <c r="G95" s="1067"/>
      <c r="H95" s="1067"/>
      <c r="I95" s="1067"/>
      <c r="J95" s="1067"/>
      <c r="K95" s="1067"/>
      <c r="L95" s="1067"/>
      <c r="M95" s="1067"/>
      <c r="N95" s="1067"/>
      <c r="O95" s="1067"/>
      <c r="P95" s="1067"/>
      <c r="Q95" s="1067"/>
      <c r="R95" s="1067"/>
      <c r="S95" s="328"/>
    </row>
    <row r="96" spans="1:19" ht="11.25" customHeight="1" x14ac:dyDescent="0.25">
      <c r="A96" s="1768"/>
      <c r="B96" s="1772"/>
      <c r="C96" s="1067"/>
      <c r="D96" s="1067"/>
      <c r="E96" s="1067"/>
      <c r="F96" s="1067"/>
      <c r="G96" s="1067"/>
      <c r="H96" s="1067"/>
      <c r="I96" s="1067"/>
      <c r="J96" s="1067"/>
      <c r="K96" s="1067"/>
      <c r="L96" s="1067"/>
      <c r="M96" s="1067"/>
      <c r="N96" s="1067"/>
      <c r="O96" s="1067"/>
      <c r="P96" s="1067"/>
      <c r="Q96" s="1067"/>
      <c r="R96" s="1067"/>
      <c r="S96" s="328"/>
    </row>
    <row r="97" spans="1:19" ht="11.25" customHeight="1" x14ac:dyDescent="0.25">
      <c r="A97" s="1768"/>
      <c r="B97" s="1772"/>
      <c r="C97" s="1785"/>
      <c r="D97" s="1785"/>
      <c r="E97" s="1785"/>
      <c r="F97" s="1785"/>
      <c r="G97" s="1785"/>
      <c r="H97" s="1785"/>
      <c r="I97" s="1785"/>
      <c r="J97" s="1785"/>
      <c r="K97" s="1785"/>
      <c r="L97" s="1785"/>
      <c r="M97" s="1785"/>
      <c r="N97" s="1785"/>
      <c r="O97" s="1785"/>
      <c r="P97" s="1785"/>
      <c r="Q97" s="1785"/>
      <c r="R97" s="1785"/>
      <c r="S97" s="328"/>
    </row>
    <row r="98" spans="1:19" ht="11.25" customHeight="1" x14ac:dyDescent="0.25">
      <c r="A98" s="1768"/>
      <c r="B98" s="1772"/>
      <c r="C98" s="1786"/>
      <c r="D98" s="1786"/>
      <c r="E98" s="1786"/>
      <c r="F98" s="1786"/>
      <c r="G98" s="1786"/>
      <c r="H98" s="1786"/>
      <c r="I98" s="1786"/>
      <c r="J98" s="1786"/>
      <c r="K98" s="1786"/>
      <c r="L98" s="1786"/>
      <c r="M98" s="1786"/>
      <c r="N98" s="1786"/>
      <c r="O98" s="1786"/>
      <c r="P98" s="1786"/>
      <c r="Q98" s="1786"/>
      <c r="R98" s="1786"/>
      <c r="S98" s="328"/>
    </row>
    <row r="99" spans="1:19" ht="11.25" customHeight="1" x14ac:dyDescent="0.25">
      <c r="A99" s="1768"/>
      <c r="B99" s="1772"/>
      <c r="C99" s="1786"/>
      <c r="D99" s="1786"/>
      <c r="E99" s="1786"/>
      <c r="F99" s="1786"/>
      <c r="G99" s="1786"/>
      <c r="H99" s="1786"/>
      <c r="I99" s="1786"/>
      <c r="J99" s="1786"/>
      <c r="K99" s="1786"/>
      <c r="L99" s="1786"/>
      <c r="M99" s="1786"/>
      <c r="N99" s="1786"/>
      <c r="O99" s="1786"/>
      <c r="P99" s="1786"/>
      <c r="Q99" s="1786"/>
      <c r="R99" s="1786"/>
      <c r="S99" s="328"/>
    </row>
    <row r="100" spans="1:19" ht="11.25" customHeight="1" x14ac:dyDescent="0.25">
      <c r="A100" s="1768"/>
      <c r="B100" s="1772"/>
      <c r="C100" s="1786"/>
      <c r="D100" s="1786"/>
      <c r="E100" s="1786"/>
      <c r="F100" s="1786"/>
      <c r="G100" s="1786"/>
      <c r="H100" s="1786"/>
      <c r="I100" s="1786"/>
      <c r="J100" s="1786"/>
      <c r="K100" s="1786"/>
      <c r="L100" s="1786"/>
      <c r="M100" s="1786"/>
      <c r="N100" s="1786"/>
      <c r="O100" s="1786"/>
      <c r="P100" s="1786"/>
      <c r="Q100" s="1786"/>
      <c r="R100" s="1786"/>
      <c r="S100" s="328"/>
    </row>
    <row r="101" spans="1:19" ht="11.25" customHeight="1" x14ac:dyDescent="0.25">
      <c r="A101" s="1768"/>
      <c r="B101" s="1772"/>
      <c r="C101" s="1786"/>
      <c r="D101" s="1786"/>
      <c r="E101" s="1786"/>
      <c r="F101" s="1786"/>
      <c r="G101" s="1786"/>
      <c r="H101" s="1786"/>
      <c r="I101" s="1786"/>
      <c r="J101" s="1786"/>
      <c r="K101" s="1786"/>
      <c r="L101" s="1786"/>
      <c r="M101" s="1786"/>
      <c r="N101" s="1786"/>
      <c r="O101" s="1786"/>
      <c r="P101" s="1786"/>
      <c r="Q101" s="1786"/>
      <c r="R101" s="1786"/>
      <c r="S101" s="328"/>
    </row>
    <row r="102" spans="1:19" ht="11.25" customHeight="1" x14ac:dyDescent="0.25">
      <c r="A102" s="1768"/>
      <c r="B102" s="1772"/>
      <c r="C102" s="1786"/>
      <c r="D102" s="1786"/>
      <c r="E102" s="1786"/>
      <c r="F102" s="1786"/>
      <c r="G102" s="1786"/>
      <c r="H102" s="1786"/>
      <c r="I102" s="1786"/>
      <c r="J102" s="1786"/>
      <c r="K102" s="1786"/>
      <c r="L102" s="1786"/>
      <c r="M102" s="1786"/>
      <c r="N102" s="1786"/>
      <c r="O102" s="1786"/>
      <c r="P102" s="1786"/>
      <c r="Q102" s="1786"/>
      <c r="R102" s="1786"/>
      <c r="S102" s="328"/>
    </row>
    <row r="103" spans="1:19" ht="11.25" customHeight="1" x14ac:dyDescent="0.25">
      <c r="A103" s="1768"/>
      <c r="B103" s="1772"/>
      <c r="C103" s="1786"/>
      <c r="D103" s="1786"/>
      <c r="E103" s="1786"/>
      <c r="F103" s="1786"/>
      <c r="G103" s="1786"/>
      <c r="H103" s="1786"/>
      <c r="I103" s="1786"/>
      <c r="J103" s="1786"/>
      <c r="K103" s="1786"/>
      <c r="L103" s="1786"/>
      <c r="M103" s="1786"/>
      <c r="N103" s="1786"/>
      <c r="O103" s="1786"/>
      <c r="P103" s="1786"/>
      <c r="Q103" s="1786"/>
      <c r="R103" s="1786"/>
      <c r="S103" s="328"/>
    </row>
    <row r="104" spans="1:19" ht="11.25" customHeight="1" x14ac:dyDescent="0.25">
      <c r="A104" s="1773"/>
      <c r="B104" s="1772"/>
      <c r="C104" s="253"/>
      <c r="D104" s="253"/>
      <c r="E104" s="253"/>
      <c r="F104" s="253"/>
      <c r="G104" s="253"/>
      <c r="H104" s="253"/>
      <c r="I104" s="253"/>
      <c r="J104" s="253"/>
      <c r="K104" s="253"/>
      <c r="L104" s="253"/>
      <c r="M104" s="253"/>
      <c r="N104" s="253"/>
      <c r="O104" s="253"/>
      <c r="P104" s="253"/>
      <c r="Q104" s="253"/>
      <c r="R104" s="253"/>
      <c r="S104" s="328"/>
    </row>
    <row r="105" spans="1:19" ht="5.0999999999999996" customHeight="1" x14ac:dyDescent="0.25">
      <c r="A105" s="1774"/>
      <c r="B105" s="1769"/>
      <c r="C105" s="331"/>
      <c r="D105" s="331"/>
      <c r="E105" s="331"/>
      <c r="F105" s="331"/>
      <c r="G105" s="331"/>
      <c r="H105" s="331"/>
      <c r="I105" s="331"/>
      <c r="J105" s="331"/>
      <c r="K105" s="331"/>
      <c r="L105" s="331"/>
      <c r="M105" s="331"/>
      <c r="N105" s="331"/>
      <c r="O105" s="331"/>
      <c r="P105" s="331"/>
      <c r="Q105" s="331"/>
      <c r="R105" s="331"/>
      <c r="S105" s="328"/>
    </row>
    <row r="106" spans="1:19" s="625" customFormat="1" x14ac:dyDescent="0.25">
      <c r="A106" s="1787"/>
      <c r="B106" s="1778"/>
      <c r="C106" s="839"/>
      <c r="D106" s="839"/>
      <c r="E106" s="839"/>
      <c r="F106" s="839"/>
      <c r="G106" s="839"/>
      <c r="H106" s="839"/>
      <c r="I106" s="839"/>
      <c r="J106" s="839"/>
      <c r="K106" s="839"/>
      <c r="L106" s="839"/>
      <c r="M106" s="839"/>
      <c r="N106" s="839"/>
      <c r="O106" s="839"/>
      <c r="P106" s="839"/>
      <c r="Q106" s="839"/>
      <c r="R106" s="839"/>
      <c r="S106" s="851"/>
    </row>
    <row r="107" spans="1:19" s="625" customFormat="1" x14ac:dyDescent="0.25">
      <c r="A107" s="1788"/>
      <c r="B107" s="1778"/>
      <c r="C107" s="839"/>
      <c r="D107" s="839"/>
      <c r="E107" s="839"/>
      <c r="F107" s="839"/>
      <c r="G107" s="839"/>
      <c r="H107" s="839"/>
      <c r="I107" s="839"/>
      <c r="J107" s="839"/>
      <c r="K107" s="839"/>
      <c r="L107" s="839"/>
      <c r="M107" s="839"/>
      <c r="N107" s="839"/>
      <c r="O107" s="839"/>
      <c r="P107" s="839"/>
      <c r="Q107" s="839"/>
      <c r="R107" s="839"/>
      <c r="S107" s="851"/>
    </row>
    <row r="108" spans="1:19" s="625" customFormat="1" x14ac:dyDescent="0.25">
      <c r="A108" s="1788"/>
      <c r="B108" s="1778"/>
      <c r="C108" s="839"/>
      <c r="D108" s="839"/>
      <c r="E108" s="839"/>
      <c r="F108" s="839"/>
      <c r="G108" s="839"/>
      <c r="H108" s="839"/>
      <c r="I108" s="839"/>
      <c r="J108" s="839"/>
      <c r="K108" s="839"/>
      <c r="L108" s="839"/>
      <c r="M108" s="839"/>
      <c r="N108" s="839"/>
      <c r="O108" s="839"/>
      <c r="P108" s="839"/>
      <c r="Q108" s="839"/>
      <c r="R108" s="839"/>
      <c r="S108" s="851"/>
    </row>
    <row r="109" spans="1:19" s="625" customFormat="1" x14ac:dyDescent="0.25">
      <c r="A109" s="1235"/>
      <c r="B109" s="1778"/>
      <c r="C109" s="839"/>
      <c r="D109" s="839"/>
      <c r="E109" s="839"/>
      <c r="F109" s="839"/>
      <c r="G109" s="839"/>
      <c r="H109" s="839"/>
      <c r="I109" s="839"/>
      <c r="J109" s="839"/>
      <c r="K109" s="839"/>
      <c r="L109" s="839"/>
      <c r="M109" s="839"/>
      <c r="N109" s="839"/>
      <c r="O109" s="839"/>
      <c r="P109" s="839"/>
      <c r="Q109" s="839"/>
      <c r="R109" s="839"/>
      <c r="S109" s="851"/>
    </row>
    <row r="110" spans="1:19" s="625" customFormat="1" x14ac:dyDescent="0.25">
      <c r="A110" s="1788"/>
      <c r="B110" s="1778"/>
      <c r="C110" s="839"/>
      <c r="D110" s="839"/>
      <c r="E110" s="839"/>
      <c r="F110" s="839"/>
      <c r="G110" s="839"/>
      <c r="H110" s="839"/>
      <c r="I110" s="839"/>
      <c r="J110" s="839"/>
      <c r="K110" s="839"/>
      <c r="L110" s="839"/>
      <c r="M110" s="839"/>
      <c r="N110" s="839"/>
      <c r="O110" s="839"/>
      <c r="P110" s="839"/>
      <c r="Q110" s="839"/>
      <c r="R110" s="839"/>
      <c r="S110" s="851"/>
    </row>
    <row r="111" spans="1:19" x14ac:dyDescent="0.25">
      <c r="A111" s="931"/>
      <c r="B111" s="1769"/>
      <c r="C111" s="233"/>
      <c r="D111" s="233"/>
      <c r="E111" s="233"/>
      <c r="F111" s="233"/>
      <c r="G111" s="234"/>
      <c r="H111" s="234"/>
      <c r="I111" s="234"/>
      <c r="J111" s="234"/>
      <c r="K111" s="234"/>
      <c r="L111" s="234"/>
      <c r="M111" s="234"/>
      <c r="N111" s="234"/>
      <c r="O111" s="234"/>
      <c r="P111" s="234"/>
      <c r="Q111" s="234"/>
      <c r="R111" s="234"/>
      <c r="S111" s="328"/>
    </row>
    <row r="112" spans="1:19" x14ac:dyDescent="0.25">
      <c r="A112" s="931"/>
      <c r="B112" s="1769"/>
      <c r="C112" s="233"/>
      <c r="D112" s="233"/>
      <c r="E112" s="233"/>
      <c r="F112" s="233"/>
      <c r="G112" s="234"/>
      <c r="H112" s="234"/>
      <c r="I112" s="234"/>
      <c r="J112" s="234"/>
      <c r="K112" s="234"/>
      <c r="L112" s="234"/>
      <c r="M112" s="234"/>
      <c r="N112" s="234"/>
      <c r="O112" s="234"/>
      <c r="P112" s="234"/>
      <c r="Q112" s="234"/>
      <c r="R112" s="234"/>
      <c r="S112" s="328"/>
    </row>
    <row r="113" spans="1:9" ht="11.25" customHeight="1" x14ac:dyDescent="0.25">
      <c r="A113" s="241"/>
      <c r="B113" s="568"/>
      <c r="C113" s="241"/>
      <c r="D113" s="241"/>
      <c r="E113" s="241"/>
      <c r="F113" s="241"/>
      <c r="G113" s="241"/>
      <c r="H113" s="241"/>
      <c r="I113" s="241"/>
    </row>
    <row r="114" spans="1:9" ht="11.25" customHeight="1" x14ac:dyDescent="0.25">
      <c r="A114" s="241"/>
      <c r="B114" s="569"/>
      <c r="C114" s="241"/>
      <c r="D114" s="241"/>
      <c r="E114" s="241"/>
      <c r="F114" s="241"/>
      <c r="G114" s="241"/>
      <c r="H114" s="241"/>
      <c r="I114" s="241"/>
    </row>
    <row r="115" spans="1:9" ht="11.25" customHeight="1" x14ac:dyDescent="0.25">
      <c r="A115" s="241"/>
      <c r="B115" s="569"/>
      <c r="C115" s="241"/>
      <c r="D115" s="241"/>
      <c r="E115" s="241"/>
      <c r="F115" s="241"/>
      <c r="G115" s="241"/>
      <c r="H115" s="241"/>
      <c r="I115" s="241"/>
    </row>
    <row r="116" spans="1:9" ht="11.25" customHeight="1" x14ac:dyDescent="0.25">
      <c r="A116" s="241"/>
      <c r="B116" s="569"/>
      <c r="C116" s="241"/>
      <c r="D116" s="241"/>
      <c r="E116" s="241"/>
      <c r="F116" s="241"/>
      <c r="G116" s="241"/>
      <c r="H116" s="241"/>
      <c r="I116" s="241"/>
    </row>
    <row r="117" spans="1:9" ht="11.25" customHeight="1" x14ac:dyDescent="0.25">
      <c r="A117" s="241"/>
      <c r="B117" s="568"/>
      <c r="C117" s="241"/>
      <c r="D117" s="241"/>
      <c r="E117" s="241"/>
      <c r="F117" s="241"/>
      <c r="G117" s="241"/>
      <c r="H117" s="241"/>
      <c r="I117" s="241"/>
    </row>
    <row r="118" spans="1:9" ht="11.25" customHeight="1" x14ac:dyDescent="0.25"/>
    <row r="119" spans="1:9" ht="11.25" customHeight="1" x14ac:dyDescent="0.25"/>
    <row r="120" spans="1:9" ht="11.25" customHeight="1" x14ac:dyDescent="0.25"/>
    <row r="121" spans="1:9" ht="11.25" customHeight="1" x14ac:dyDescent="0.25"/>
    <row r="122" spans="1:9" ht="11.25" customHeight="1" x14ac:dyDescent="0.25"/>
    <row r="123" spans="1:9" ht="11.25" customHeight="1" x14ac:dyDescent="0.25"/>
    <row r="124" spans="1:9" ht="11.25" customHeight="1" x14ac:dyDescent="0.25"/>
    <row r="125" spans="1:9" ht="11.25" customHeight="1" x14ac:dyDescent="0.25"/>
    <row r="126" spans="1:9" ht="11.25" customHeight="1" x14ac:dyDescent="0.25"/>
    <row r="127" spans="1:9" ht="11.25" customHeight="1" x14ac:dyDescent="0.25"/>
    <row r="128" spans="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phoneticPr fontId="4" type="noConversion"/>
  <dataValidations xWindow="281" yWindow="416" count="6">
    <dataValidation type="list" allowBlank="1" showInputMessage="1" showErrorMessage="1" promptTitle="Select" prompt="Select one" sqref="C18:R18">
      <formula1>List3</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20:R20 C76:R76">
      <formula1>List5</formula1>
    </dataValidation>
    <dataValidation type="list" showInputMessage="1" showErrorMessage="1" promptTitle="Guidance" prompt="Select Yes or No" sqref="C78:R79 C22:R23">
      <formula1>List6</formula1>
    </dataValidation>
    <dataValidation type="list" showInputMessage="1" showErrorMessage="1" promptTitle="Guidance" prompt="Select Uniform or Variable" sqref="C24:R24 C80:R80">
      <formula1>List7</formula1>
    </dataValidation>
  </dataValidations>
  <pageMargins left="0.75" right="0.75" top="1" bottom="1" header="0.5" footer="0.5"/>
  <pageSetup scale="50" orientation="portrait" r:id="rId1"/>
  <headerFooter alignWithMargins="0"/>
  <rowBreaks count="1" manualBreakCount="1">
    <brk id="56"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indexed="42"/>
    <pageSetUpPr fitToPage="1"/>
  </sheetPr>
  <dimension ref="A1:S146"/>
  <sheetViews>
    <sheetView showGridLines="0" tabSelected="1" workbookViewId="0">
      <pane xSplit="2" ySplit="2" topLeftCell="C3"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570" customWidth="1"/>
    <col min="3" max="18" width="8.140625" style="148" customWidth="1"/>
    <col min="19" max="19" width="9.85546875" style="148" customWidth="1"/>
    <col min="20" max="20" width="9.5703125" style="148" customWidth="1"/>
    <col min="21" max="21" width="9.85546875" style="148" customWidth="1"/>
    <col min="22" max="24" width="9.5703125" style="148" customWidth="1"/>
    <col min="25" max="25" width="9.85546875" style="148" customWidth="1"/>
    <col min="26" max="28" width="9.5703125" style="148" customWidth="1"/>
    <col min="29" max="30" width="9.85546875" style="148" customWidth="1"/>
    <col min="31" max="16384" width="9.140625" style="148"/>
  </cols>
  <sheetData>
    <row r="1" spans="1:18" ht="13.5" x14ac:dyDescent="0.25">
      <c r="A1" s="146" t="str">
        <f>muni&amp;" - "&amp;TableA12b</f>
        <v>NC071 Ubuntu - Supporting Table SA12b Property rates by category (budget year)</v>
      </c>
      <c r="B1" s="549"/>
      <c r="C1" s="146"/>
      <c r="D1" s="146"/>
      <c r="E1" s="146"/>
      <c r="F1" s="146"/>
      <c r="G1" s="146"/>
      <c r="H1" s="146"/>
      <c r="I1" s="146"/>
      <c r="J1" s="146"/>
      <c r="K1" s="146"/>
      <c r="L1" s="146"/>
      <c r="M1" s="146"/>
      <c r="N1" s="146"/>
      <c r="O1" s="146"/>
      <c r="P1" s="146"/>
      <c r="Q1" s="146"/>
      <c r="R1" s="146"/>
    </row>
    <row r="2" spans="1:18" ht="38.25" x14ac:dyDescent="0.25">
      <c r="A2" s="550" t="str">
        <f>desc</f>
        <v>Description</v>
      </c>
      <c r="B2" s="551" t="str">
        <f>head27</f>
        <v>Ref</v>
      </c>
      <c r="C2" s="458" t="s">
        <v>1078</v>
      </c>
      <c r="D2" s="458" t="s">
        <v>1079</v>
      </c>
      <c r="E2" s="458" t="s">
        <v>1080</v>
      </c>
      <c r="F2" s="458" t="s">
        <v>1081</v>
      </c>
      <c r="G2" s="458" t="s">
        <v>1467</v>
      </c>
      <c r="H2" s="458" t="s">
        <v>1550</v>
      </c>
      <c r="I2" s="458" t="s">
        <v>1468</v>
      </c>
      <c r="J2" s="458" t="s">
        <v>1082</v>
      </c>
      <c r="K2" s="458" t="s">
        <v>416</v>
      </c>
      <c r="L2" s="458" t="s">
        <v>1083</v>
      </c>
      <c r="M2" s="458" t="s">
        <v>417</v>
      </c>
      <c r="N2" s="458" t="s">
        <v>1551</v>
      </c>
      <c r="O2" s="458" t="s">
        <v>1084</v>
      </c>
      <c r="P2" s="458" t="s">
        <v>418</v>
      </c>
      <c r="Q2" s="458" t="s">
        <v>1552</v>
      </c>
      <c r="R2" s="552" t="s">
        <v>1553</v>
      </c>
    </row>
    <row r="3" spans="1:18" ht="11.25" customHeight="1" x14ac:dyDescent="0.25">
      <c r="A3" s="244" t="str">
        <f>Head9</f>
        <v>Budget Year 2012/13</v>
      </c>
      <c r="B3" s="181"/>
      <c r="C3" s="553"/>
      <c r="D3" s="553"/>
      <c r="E3" s="553"/>
      <c r="F3" s="553"/>
      <c r="G3" s="553"/>
      <c r="H3" s="553"/>
      <c r="I3" s="553"/>
      <c r="J3" s="553"/>
      <c r="K3" s="553"/>
      <c r="L3" s="553"/>
      <c r="M3" s="553"/>
      <c r="N3" s="553"/>
      <c r="O3" s="553"/>
      <c r="P3" s="553"/>
      <c r="Q3" s="553"/>
      <c r="R3" s="554"/>
    </row>
    <row r="4" spans="1:18" ht="11.25" customHeight="1" x14ac:dyDescent="0.25">
      <c r="A4" s="244" t="s">
        <v>759</v>
      </c>
      <c r="B4" s="181"/>
      <c r="C4" s="553"/>
      <c r="D4" s="553"/>
      <c r="E4" s="553"/>
      <c r="F4" s="553"/>
      <c r="G4" s="553"/>
      <c r="H4" s="553"/>
      <c r="I4" s="553"/>
      <c r="J4" s="553"/>
      <c r="K4" s="553"/>
      <c r="L4" s="553"/>
      <c r="M4" s="553"/>
      <c r="N4" s="553"/>
      <c r="O4" s="553"/>
      <c r="P4" s="553"/>
      <c r="Q4" s="553"/>
      <c r="R4" s="554"/>
    </row>
    <row r="5" spans="1:18" ht="11.25" customHeight="1" x14ac:dyDescent="0.25">
      <c r="A5" s="245" t="s">
        <v>413</v>
      </c>
      <c r="B5" s="181"/>
      <c r="C5" s="1348"/>
      <c r="D5" s="1348"/>
      <c r="E5" s="1348"/>
      <c r="F5" s="1348"/>
      <c r="G5" s="1348"/>
      <c r="H5" s="1348"/>
      <c r="I5" s="1348"/>
      <c r="J5" s="1348"/>
      <c r="K5" s="1348"/>
      <c r="L5" s="1348"/>
      <c r="M5" s="1348"/>
      <c r="N5" s="1348"/>
      <c r="O5" s="1348"/>
      <c r="P5" s="1348"/>
      <c r="Q5" s="1348"/>
      <c r="R5" s="1445"/>
    </row>
    <row r="6" spans="1:18" ht="11.25" customHeight="1" x14ac:dyDescent="0.25">
      <c r="A6" s="245" t="s">
        <v>1405</v>
      </c>
      <c r="B6" s="181"/>
      <c r="C6" s="1348"/>
      <c r="D6" s="1348"/>
      <c r="E6" s="1348"/>
      <c r="F6" s="1348"/>
      <c r="G6" s="1348"/>
      <c r="H6" s="1348"/>
      <c r="I6" s="1348"/>
      <c r="J6" s="1348"/>
      <c r="K6" s="1348"/>
      <c r="L6" s="1348"/>
      <c r="M6" s="1348"/>
      <c r="N6" s="1348"/>
      <c r="O6" s="1348"/>
      <c r="P6" s="1348"/>
      <c r="Q6" s="1348"/>
      <c r="R6" s="1445"/>
    </row>
    <row r="7" spans="1:18" ht="11.25" customHeight="1" x14ac:dyDescent="0.25">
      <c r="A7" s="245" t="s">
        <v>415</v>
      </c>
      <c r="B7" s="181"/>
      <c r="C7" s="1348"/>
      <c r="D7" s="1348"/>
      <c r="E7" s="1348"/>
      <c r="F7" s="1348"/>
      <c r="G7" s="1348"/>
      <c r="H7" s="1348"/>
      <c r="I7" s="1348"/>
      <c r="J7" s="1348"/>
      <c r="K7" s="1348"/>
      <c r="L7" s="1348"/>
      <c r="M7" s="1348"/>
      <c r="N7" s="1348"/>
      <c r="O7" s="1348"/>
      <c r="P7" s="1348"/>
      <c r="Q7" s="1348"/>
      <c r="R7" s="1445"/>
    </row>
    <row r="8" spans="1:18" ht="11.25" customHeight="1" x14ac:dyDescent="0.25">
      <c r="A8" s="245" t="s">
        <v>750</v>
      </c>
      <c r="B8" s="181"/>
      <c r="C8" s="1348"/>
      <c r="D8" s="1348"/>
      <c r="E8" s="1348"/>
      <c r="F8" s="1348"/>
      <c r="G8" s="1348"/>
      <c r="H8" s="1348"/>
      <c r="I8" s="1348"/>
      <c r="J8" s="1348"/>
      <c r="K8" s="1348"/>
      <c r="L8" s="1348"/>
      <c r="M8" s="1348"/>
      <c r="N8" s="1348"/>
      <c r="O8" s="1348"/>
      <c r="P8" s="1348"/>
      <c r="Q8" s="1348"/>
      <c r="R8" s="1445"/>
    </row>
    <row r="9" spans="1:18" ht="11.25" customHeight="1" x14ac:dyDescent="0.25">
      <c r="A9" s="245" t="s">
        <v>1406</v>
      </c>
      <c r="B9" s="181"/>
      <c r="C9" s="1348"/>
      <c r="D9" s="1348"/>
      <c r="E9" s="1348"/>
      <c r="F9" s="1348"/>
      <c r="G9" s="1348"/>
      <c r="H9" s="1348"/>
      <c r="I9" s="1348"/>
      <c r="J9" s="1348"/>
      <c r="K9" s="1348"/>
      <c r="L9" s="1348"/>
      <c r="M9" s="1348"/>
      <c r="N9" s="1348"/>
      <c r="O9" s="1348"/>
      <c r="P9" s="1348"/>
      <c r="Q9" s="1348"/>
      <c r="R9" s="1445"/>
    </row>
    <row r="10" spans="1:18" ht="11.25" customHeight="1" x14ac:dyDescent="0.25">
      <c r="A10" s="245" t="s">
        <v>751</v>
      </c>
      <c r="B10" s="181"/>
      <c r="C10" s="1348"/>
      <c r="D10" s="1348"/>
      <c r="E10" s="1348"/>
      <c r="F10" s="1348"/>
      <c r="G10" s="1348"/>
      <c r="H10" s="1348"/>
      <c r="I10" s="1348"/>
      <c r="J10" s="1348"/>
      <c r="K10" s="1348"/>
      <c r="L10" s="1348"/>
      <c r="M10" s="1348"/>
      <c r="N10" s="1348"/>
      <c r="O10" s="1348"/>
      <c r="P10" s="1348"/>
      <c r="Q10" s="1348"/>
      <c r="R10" s="1445"/>
    </row>
    <row r="11" spans="1:18" ht="11.25" customHeight="1" x14ac:dyDescent="0.25">
      <c r="A11" s="245" t="s">
        <v>368</v>
      </c>
      <c r="B11" s="181"/>
      <c r="C11" s="1348"/>
      <c r="D11" s="1348"/>
      <c r="E11" s="1348"/>
      <c r="F11" s="1348"/>
      <c r="G11" s="1348"/>
      <c r="H11" s="1348"/>
      <c r="I11" s="1348"/>
      <c r="J11" s="1348"/>
      <c r="K11" s="1348"/>
      <c r="L11" s="1348"/>
      <c r="M11" s="1348"/>
      <c r="N11" s="1348"/>
      <c r="O11" s="1348"/>
      <c r="P11" s="1348"/>
      <c r="Q11" s="1348"/>
      <c r="R11" s="1445"/>
    </row>
    <row r="12" spans="1:18" ht="11.25" customHeight="1" x14ac:dyDescent="0.25">
      <c r="A12" s="245" t="s">
        <v>369</v>
      </c>
      <c r="B12" s="181"/>
      <c r="C12" s="1348"/>
      <c r="D12" s="1348"/>
      <c r="E12" s="1348"/>
      <c r="F12" s="1348"/>
      <c r="G12" s="1348"/>
      <c r="H12" s="1348"/>
      <c r="I12" s="1348"/>
      <c r="J12" s="1348"/>
      <c r="K12" s="1348"/>
      <c r="L12" s="1348"/>
      <c r="M12" s="1348"/>
      <c r="N12" s="1348"/>
      <c r="O12" s="1348"/>
      <c r="P12" s="1348"/>
      <c r="Q12" s="1348"/>
      <c r="R12" s="1445"/>
    </row>
    <row r="13" spans="1:18" ht="11.25" customHeight="1" x14ac:dyDescent="0.25">
      <c r="A13" s="245" t="s">
        <v>370</v>
      </c>
      <c r="B13" s="181"/>
      <c r="C13" s="1348"/>
      <c r="D13" s="1348"/>
      <c r="E13" s="1348"/>
      <c r="F13" s="1348"/>
      <c r="G13" s="1348"/>
      <c r="H13" s="1348"/>
      <c r="I13" s="1348"/>
      <c r="J13" s="1348"/>
      <c r="K13" s="1348"/>
      <c r="L13" s="1348"/>
      <c r="M13" s="1348"/>
      <c r="N13" s="1348"/>
      <c r="O13" s="1348"/>
      <c r="P13" s="1348"/>
      <c r="Q13" s="1348"/>
      <c r="R13" s="1445"/>
    </row>
    <row r="14" spans="1:18" ht="11.25" customHeight="1" x14ac:dyDescent="0.25">
      <c r="A14" s="245" t="s">
        <v>761</v>
      </c>
      <c r="B14" s="181">
        <v>5</v>
      </c>
      <c r="C14" s="1348"/>
      <c r="D14" s="1348"/>
      <c r="E14" s="1348"/>
      <c r="F14" s="1348"/>
      <c r="G14" s="1348"/>
      <c r="H14" s="1348"/>
      <c r="I14" s="1348"/>
      <c r="J14" s="1348"/>
      <c r="K14" s="1348"/>
      <c r="L14" s="1348"/>
      <c r="M14" s="1348"/>
      <c r="N14" s="1348"/>
      <c r="O14" s="1348"/>
      <c r="P14" s="1348"/>
      <c r="Q14" s="1348"/>
      <c r="R14" s="1445"/>
    </row>
    <row r="15" spans="1:18" ht="11.25" customHeight="1" x14ac:dyDescent="0.25">
      <c r="A15" s="245" t="s">
        <v>749</v>
      </c>
      <c r="B15" s="181">
        <v>5</v>
      </c>
      <c r="C15" s="1348"/>
      <c r="D15" s="1348"/>
      <c r="E15" s="1348"/>
      <c r="F15" s="1348"/>
      <c r="G15" s="1348"/>
      <c r="H15" s="1348"/>
      <c r="I15" s="1348"/>
      <c r="J15" s="1348"/>
      <c r="K15" s="1348"/>
      <c r="L15" s="1348"/>
      <c r="M15" s="1348"/>
      <c r="N15" s="1348"/>
      <c r="O15" s="1348"/>
      <c r="P15" s="1348"/>
      <c r="Q15" s="1348"/>
      <c r="R15" s="1445"/>
    </row>
    <row r="16" spans="1:18" ht="11.25" customHeight="1" x14ac:dyDescent="0.25">
      <c r="A16" s="249" t="s">
        <v>1407</v>
      </c>
      <c r="B16" s="318"/>
      <c r="C16" s="1346"/>
      <c r="D16" s="1346"/>
      <c r="E16" s="1346"/>
      <c r="F16" s="1346"/>
      <c r="G16" s="1346"/>
      <c r="H16" s="1346"/>
      <c r="I16" s="1351"/>
      <c r="J16" s="1346"/>
      <c r="K16" s="1346"/>
      <c r="L16" s="1346"/>
      <c r="M16" s="1346"/>
      <c r="N16" s="1346"/>
      <c r="O16" s="1346"/>
      <c r="P16" s="1346"/>
      <c r="Q16" s="1346"/>
      <c r="R16" s="1446"/>
    </row>
    <row r="17" spans="1:18" ht="11.25" customHeight="1" x14ac:dyDescent="0.25">
      <c r="A17" s="245" t="s">
        <v>1688</v>
      </c>
      <c r="B17" s="181"/>
      <c r="C17" s="1377"/>
      <c r="D17" s="1377"/>
      <c r="E17" s="1377"/>
      <c r="F17" s="1377"/>
      <c r="G17" s="1377"/>
      <c r="H17" s="1377"/>
      <c r="I17" s="1377"/>
      <c r="J17" s="1377"/>
      <c r="K17" s="1377"/>
      <c r="L17" s="1377"/>
      <c r="M17" s="1377"/>
      <c r="N17" s="1377"/>
      <c r="O17" s="1377"/>
      <c r="P17" s="1377"/>
      <c r="Q17" s="1377"/>
      <c r="R17" s="1378"/>
    </row>
    <row r="18" spans="1:18" ht="11.25" customHeight="1" x14ac:dyDescent="0.25">
      <c r="A18" s="245" t="s">
        <v>1689</v>
      </c>
      <c r="B18" s="181"/>
      <c r="C18" s="1377"/>
      <c r="D18" s="1447"/>
      <c r="E18" s="1447"/>
      <c r="F18" s="1447"/>
      <c r="G18" s="1447"/>
      <c r="H18" s="1447"/>
      <c r="I18" s="1447"/>
      <c r="J18" s="1447"/>
      <c r="K18" s="1447"/>
      <c r="L18" s="1447"/>
      <c r="M18" s="1447"/>
      <c r="N18" s="1447"/>
      <c r="O18" s="1447"/>
      <c r="P18" s="1447"/>
      <c r="Q18" s="1447"/>
      <c r="R18" s="1448"/>
    </row>
    <row r="19" spans="1:18" ht="11.25" customHeight="1" x14ac:dyDescent="0.25">
      <c r="A19" s="245" t="s">
        <v>1690</v>
      </c>
      <c r="B19" s="181"/>
      <c r="C19" s="1377"/>
      <c r="D19" s="1377"/>
      <c r="E19" s="1377"/>
      <c r="F19" s="1377"/>
      <c r="G19" s="1377"/>
      <c r="H19" s="1377"/>
      <c r="I19" s="1377"/>
      <c r="J19" s="1377"/>
      <c r="K19" s="1377"/>
      <c r="L19" s="1377"/>
      <c r="M19" s="1377"/>
      <c r="N19" s="1377"/>
      <c r="O19" s="1377"/>
      <c r="P19" s="1377"/>
      <c r="Q19" s="1377"/>
      <c r="R19" s="1378"/>
    </row>
    <row r="20" spans="1:18" ht="11.25" customHeight="1" x14ac:dyDescent="0.25">
      <c r="A20" s="245" t="s">
        <v>1691</v>
      </c>
      <c r="B20" s="181"/>
      <c r="C20" s="1377"/>
      <c r="D20" s="1377"/>
      <c r="E20" s="1377"/>
      <c r="F20" s="1377"/>
      <c r="G20" s="1377"/>
      <c r="H20" s="1377"/>
      <c r="I20" s="1377"/>
      <c r="J20" s="1377"/>
      <c r="K20" s="1377"/>
      <c r="L20" s="1377"/>
      <c r="M20" s="1377"/>
      <c r="N20" s="1377"/>
      <c r="O20" s="1377"/>
      <c r="P20" s="1377"/>
      <c r="Q20" s="1377"/>
      <c r="R20" s="1378"/>
    </row>
    <row r="21" spans="1:18" ht="11.25" customHeight="1" x14ac:dyDescent="0.25">
      <c r="A21" s="245" t="s">
        <v>164</v>
      </c>
      <c r="B21" s="181"/>
      <c r="C21" s="1377"/>
      <c r="D21" s="1377"/>
      <c r="E21" s="1377"/>
      <c r="F21" s="1377"/>
      <c r="G21" s="1377"/>
      <c r="H21" s="1377"/>
      <c r="I21" s="1377"/>
      <c r="J21" s="1377"/>
      <c r="K21" s="1377"/>
      <c r="L21" s="1377"/>
      <c r="M21" s="1377"/>
      <c r="N21" s="1377"/>
      <c r="O21" s="1377"/>
      <c r="P21" s="1377"/>
      <c r="Q21" s="1377"/>
      <c r="R21" s="1378"/>
    </row>
    <row r="22" spans="1:18" ht="11.25" customHeight="1" x14ac:dyDescent="0.25">
      <c r="A22" s="245" t="s">
        <v>678</v>
      </c>
      <c r="B22" s="555"/>
      <c r="C22" s="1377"/>
      <c r="D22" s="1377"/>
      <c r="E22" s="1377"/>
      <c r="F22" s="1377"/>
      <c r="G22" s="1377"/>
      <c r="H22" s="1377"/>
      <c r="I22" s="1377"/>
      <c r="J22" s="1377"/>
      <c r="K22" s="1377"/>
      <c r="L22" s="1377"/>
      <c r="M22" s="1377"/>
      <c r="N22" s="1377"/>
      <c r="O22" s="1377"/>
      <c r="P22" s="1377"/>
      <c r="Q22" s="1377"/>
      <c r="R22" s="1378"/>
    </row>
    <row r="23" spans="1:18" ht="11.25" customHeight="1" x14ac:dyDescent="0.25">
      <c r="A23" s="245" t="s">
        <v>679</v>
      </c>
      <c r="B23" s="555"/>
      <c r="C23" s="1377"/>
      <c r="D23" s="1377"/>
      <c r="E23" s="1377"/>
      <c r="F23" s="1377"/>
      <c r="G23" s="1377"/>
      <c r="H23" s="1377"/>
      <c r="I23" s="1377"/>
      <c r="J23" s="1377"/>
      <c r="K23" s="1377"/>
      <c r="L23" s="1377"/>
      <c r="M23" s="1377"/>
      <c r="N23" s="1377"/>
      <c r="O23" s="1377"/>
      <c r="P23" s="1377"/>
      <c r="Q23" s="1377"/>
      <c r="R23" s="1378"/>
    </row>
    <row r="24" spans="1:18" ht="11.25" customHeight="1" x14ac:dyDescent="0.25">
      <c r="A24" s="245" t="s">
        <v>313</v>
      </c>
      <c r="B24" s="555"/>
      <c r="C24" s="1377"/>
      <c r="D24" s="1377"/>
      <c r="E24" s="1377"/>
      <c r="F24" s="1377"/>
      <c r="G24" s="1377"/>
      <c r="H24" s="1377"/>
      <c r="I24" s="1377"/>
      <c r="J24" s="1377"/>
      <c r="K24" s="1377"/>
      <c r="L24" s="1377"/>
      <c r="M24" s="1377"/>
      <c r="N24" s="1377"/>
      <c r="O24" s="1377"/>
      <c r="P24" s="1377"/>
      <c r="Q24" s="1377"/>
      <c r="R24" s="1378"/>
    </row>
    <row r="25" spans="1:18" ht="11.25" customHeight="1" x14ac:dyDescent="0.25">
      <c r="A25" s="244" t="s">
        <v>1547</v>
      </c>
      <c r="B25" s="181"/>
      <c r="C25" s="515"/>
      <c r="D25" s="515"/>
      <c r="E25" s="515"/>
      <c r="F25" s="515"/>
      <c r="G25" s="515"/>
      <c r="H25" s="515"/>
      <c r="I25" s="515"/>
      <c r="J25" s="515"/>
      <c r="K25" s="515"/>
      <c r="L25" s="515"/>
      <c r="M25" s="515"/>
      <c r="N25" s="515"/>
      <c r="O25" s="515"/>
      <c r="P25" s="515"/>
      <c r="Q25" s="515"/>
      <c r="R25" s="518"/>
    </row>
    <row r="26" spans="1:18" ht="11.25" customHeight="1" x14ac:dyDescent="0.25">
      <c r="A26" s="245" t="s">
        <v>525</v>
      </c>
      <c r="B26" s="181"/>
      <c r="C26" s="1399"/>
      <c r="D26" s="1399"/>
      <c r="E26" s="1399"/>
      <c r="F26" s="1399"/>
      <c r="G26" s="1399"/>
      <c r="H26" s="1399"/>
      <c r="I26" s="1399"/>
      <c r="J26" s="1399"/>
      <c r="K26" s="1399"/>
      <c r="L26" s="1399"/>
      <c r="M26" s="1399"/>
      <c r="N26" s="1399"/>
      <c r="O26" s="1399"/>
      <c r="P26" s="1399"/>
      <c r="Q26" s="1399"/>
      <c r="R26" s="1403"/>
    </row>
    <row r="27" spans="1:18" ht="11.25" customHeight="1" x14ac:dyDescent="0.25">
      <c r="A27" s="245" t="s">
        <v>526</v>
      </c>
      <c r="B27" s="181"/>
      <c r="C27" s="1399"/>
      <c r="D27" s="1399"/>
      <c r="E27" s="1399"/>
      <c r="F27" s="1399"/>
      <c r="G27" s="1399"/>
      <c r="H27" s="1399"/>
      <c r="I27" s="1399"/>
      <c r="J27" s="1399"/>
      <c r="K27" s="1399"/>
      <c r="L27" s="1399"/>
      <c r="M27" s="1399"/>
      <c r="N27" s="1399"/>
      <c r="O27" s="1399"/>
      <c r="P27" s="1399"/>
      <c r="Q27" s="1399"/>
      <c r="R27" s="1403"/>
    </row>
    <row r="28" spans="1:18" ht="11.25" customHeight="1" x14ac:dyDescent="0.25">
      <c r="A28" s="245" t="s">
        <v>527</v>
      </c>
      <c r="B28" s="181"/>
      <c r="C28" s="1399"/>
      <c r="D28" s="1399"/>
      <c r="E28" s="1399"/>
      <c r="F28" s="1399"/>
      <c r="G28" s="1399"/>
      <c r="H28" s="1399"/>
      <c r="I28" s="1399"/>
      <c r="J28" s="1399"/>
      <c r="K28" s="1399"/>
      <c r="L28" s="1399"/>
      <c r="M28" s="1399"/>
      <c r="N28" s="1399"/>
      <c r="O28" s="1399"/>
      <c r="P28" s="1399"/>
      <c r="Q28" s="1399"/>
      <c r="R28" s="1403"/>
    </row>
    <row r="29" spans="1:18" ht="11.25" customHeight="1" x14ac:dyDescent="0.25">
      <c r="A29" s="245" t="s">
        <v>528</v>
      </c>
      <c r="B29" s="181"/>
      <c r="C29" s="1399"/>
      <c r="D29" s="1399"/>
      <c r="E29" s="1399"/>
      <c r="F29" s="1399"/>
      <c r="G29" s="1399"/>
      <c r="H29" s="1399"/>
      <c r="I29" s="1399"/>
      <c r="J29" s="1399"/>
      <c r="K29" s="1399"/>
      <c r="L29" s="1399"/>
      <c r="M29" s="1399"/>
      <c r="N29" s="1399"/>
      <c r="O29" s="1399"/>
      <c r="P29" s="1399"/>
      <c r="Q29" s="1399"/>
      <c r="R29" s="1403"/>
    </row>
    <row r="30" spans="1:18" ht="11.25" customHeight="1" x14ac:dyDescent="0.25">
      <c r="A30" s="245" t="s">
        <v>529</v>
      </c>
      <c r="B30" s="181"/>
      <c r="C30" s="1399"/>
      <c r="D30" s="1399"/>
      <c r="E30" s="1399"/>
      <c r="F30" s="1399"/>
      <c r="G30" s="1399"/>
      <c r="H30" s="1399"/>
      <c r="I30" s="1399"/>
      <c r="J30" s="1399"/>
      <c r="K30" s="1399"/>
      <c r="L30" s="1399"/>
      <c r="M30" s="1399"/>
      <c r="N30" s="1399"/>
      <c r="O30" s="1399"/>
      <c r="P30" s="1399"/>
      <c r="Q30" s="1399"/>
      <c r="R30" s="1403"/>
    </row>
    <row r="31" spans="1:18" ht="11.25" customHeight="1" x14ac:dyDescent="0.25">
      <c r="A31" s="245" t="s">
        <v>530</v>
      </c>
      <c r="B31" s="555">
        <v>2</v>
      </c>
      <c r="C31" s="1399"/>
      <c r="D31" s="1399"/>
      <c r="E31" s="1399"/>
      <c r="F31" s="1399"/>
      <c r="G31" s="1399"/>
      <c r="H31" s="1399"/>
      <c r="I31" s="1399"/>
      <c r="J31" s="1399"/>
      <c r="K31" s="1399"/>
      <c r="L31" s="1399"/>
      <c r="M31" s="1399"/>
      <c r="N31" s="1399"/>
      <c r="O31" s="1399"/>
      <c r="P31" s="1399"/>
      <c r="Q31" s="1399"/>
      <c r="R31" s="1403"/>
    </row>
    <row r="32" spans="1:18" ht="11.25" customHeight="1" x14ac:dyDescent="0.25">
      <c r="A32" s="257" t="s">
        <v>1548</v>
      </c>
      <c r="B32" s="181"/>
      <c r="C32" s="556"/>
      <c r="D32" s="556"/>
      <c r="E32" s="556"/>
      <c r="F32" s="556"/>
      <c r="G32" s="556"/>
      <c r="H32" s="556"/>
      <c r="I32" s="556"/>
      <c r="J32" s="556"/>
      <c r="K32" s="556"/>
      <c r="L32" s="556"/>
      <c r="M32" s="556"/>
      <c r="N32" s="556"/>
      <c r="O32" s="556"/>
      <c r="P32" s="556"/>
      <c r="Q32" s="556"/>
      <c r="R32" s="557"/>
    </row>
    <row r="33" spans="1:19" ht="15.75" customHeight="1" x14ac:dyDescent="0.25">
      <c r="A33" s="245" t="s">
        <v>1461</v>
      </c>
      <c r="B33" s="181">
        <v>6</v>
      </c>
      <c r="C33" s="1405"/>
      <c r="D33" s="1405"/>
      <c r="E33" s="1405"/>
      <c r="F33" s="1405"/>
      <c r="G33" s="1405"/>
      <c r="H33" s="1405"/>
      <c r="I33" s="1405"/>
      <c r="J33" s="1405"/>
      <c r="K33" s="1405"/>
      <c r="L33" s="1405"/>
      <c r="M33" s="1405"/>
      <c r="N33" s="1405"/>
      <c r="O33" s="1405"/>
      <c r="P33" s="1405"/>
      <c r="Q33" s="1405"/>
      <c r="R33" s="1408"/>
    </row>
    <row r="34" spans="1:19" ht="11.25" customHeight="1" x14ac:dyDescent="0.25">
      <c r="A34" s="245" t="s">
        <v>1462</v>
      </c>
      <c r="B34" s="181">
        <v>6</v>
      </c>
      <c r="C34" s="1405"/>
      <c r="D34" s="1405"/>
      <c r="E34" s="1405"/>
      <c r="F34" s="1405"/>
      <c r="G34" s="1405"/>
      <c r="H34" s="1405"/>
      <c r="I34" s="1405"/>
      <c r="J34" s="1405"/>
      <c r="K34" s="1405"/>
      <c r="L34" s="1405"/>
      <c r="M34" s="1405"/>
      <c r="N34" s="1405"/>
      <c r="O34" s="1405"/>
      <c r="P34" s="1405"/>
      <c r="Q34" s="1405"/>
      <c r="R34" s="1408"/>
    </row>
    <row r="35" spans="1:19" ht="11.25" customHeight="1" x14ac:dyDescent="0.25">
      <c r="A35" s="245" t="s">
        <v>1463</v>
      </c>
      <c r="B35" s="181">
        <v>6</v>
      </c>
      <c r="C35" s="1405"/>
      <c r="D35" s="1405"/>
      <c r="E35" s="1405"/>
      <c r="F35" s="1405"/>
      <c r="G35" s="1405"/>
      <c r="H35" s="1405"/>
      <c r="I35" s="1405"/>
      <c r="J35" s="1405"/>
      <c r="K35" s="1405"/>
      <c r="L35" s="1405"/>
      <c r="M35" s="1405"/>
      <c r="N35" s="1405"/>
      <c r="O35" s="1405"/>
      <c r="P35" s="1405"/>
      <c r="Q35" s="1405"/>
      <c r="R35" s="1408"/>
    </row>
    <row r="36" spans="1:19" ht="11.25" customHeight="1" x14ac:dyDescent="0.25">
      <c r="A36" s="245" t="s">
        <v>1464</v>
      </c>
      <c r="B36" s="1249">
        <v>6</v>
      </c>
      <c r="C36" s="1410"/>
      <c r="D36" s="1410"/>
      <c r="E36" s="1410"/>
      <c r="F36" s="1410"/>
      <c r="G36" s="1410"/>
      <c r="H36" s="1410"/>
      <c r="I36" s="1410"/>
      <c r="J36" s="1410"/>
      <c r="K36" s="1410"/>
      <c r="L36" s="1410"/>
      <c r="M36" s="1410"/>
      <c r="N36" s="1410"/>
      <c r="O36" s="1410"/>
      <c r="P36" s="1410"/>
      <c r="Q36" s="1410"/>
      <c r="R36" s="1449"/>
    </row>
    <row r="37" spans="1:19" ht="15.75" customHeight="1" x14ac:dyDescent="0.25">
      <c r="A37" s="558" t="s">
        <v>1549</v>
      </c>
      <c r="B37" s="559"/>
      <c r="C37" s="560"/>
      <c r="D37" s="560"/>
      <c r="E37" s="560"/>
      <c r="F37" s="560"/>
      <c r="G37" s="560"/>
      <c r="H37" s="560"/>
      <c r="I37" s="560"/>
      <c r="J37" s="560"/>
      <c r="K37" s="560"/>
      <c r="L37" s="560"/>
      <c r="M37" s="560"/>
      <c r="N37" s="560"/>
      <c r="O37" s="560"/>
      <c r="P37" s="560"/>
      <c r="Q37" s="560"/>
      <c r="R37" s="561"/>
    </row>
    <row r="38" spans="1:19" ht="11.25" customHeight="1" x14ac:dyDescent="0.25">
      <c r="A38" s="249" t="s">
        <v>312</v>
      </c>
      <c r="B38" s="562">
        <v>3</v>
      </c>
      <c r="C38" s="1450"/>
      <c r="D38" s="1450"/>
      <c r="E38" s="1450"/>
      <c r="F38" s="1450"/>
      <c r="G38" s="1450"/>
      <c r="H38" s="1450"/>
      <c r="I38" s="1450"/>
      <c r="J38" s="1450"/>
      <c r="K38" s="1450"/>
      <c r="L38" s="1450"/>
      <c r="M38" s="1450"/>
      <c r="N38" s="1450"/>
      <c r="O38" s="1450"/>
      <c r="P38" s="1450"/>
      <c r="Q38" s="1450"/>
      <c r="R38" s="1451"/>
      <c r="S38" s="338"/>
    </row>
    <row r="39" spans="1:19" ht="11.25" customHeight="1" x14ac:dyDescent="0.25">
      <c r="A39" s="249" t="s">
        <v>1465</v>
      </c>
      <c r="B39" s="562"/>
      <c r="C39" s="1318"/>
      <c r="D39" s="1318"/>
      <c r="E39" s="1318"/>
      <c r="F39" s="1318"/>
      <c r="G39" s="1318"/>
      <c r="H39" s="1318"/>
      <c r="I39" s="1318"/>
      <c r="J39" s="1318"/>
      <c r="K39" s="1318"/>
      <c r="L39" s="1318"/>
      <c r="M39" s="1318"/>
      <c r="N39" s="1318"/>
      <c r="O39" s="1318"/>
      <c r="P39" s="1318"/>
      <c r="Q39" s="1318"/>
      <c r="R39" s="1321"/>
      <c r="S39" s="563">
        <f>SUM(C39:R39)</f>
        <v>0</v>
      </c>
    </row>
    <row r="40" spans="1:19" ht="11.25" customHeight="1" x14ac:dyDescent="0.25">
      <c r="A40" s="249" t="s">
        <v>1466</v>
      </c>
      <c r="B40" s="562"/>
      <c r="C40" s="1318"/>
      <c r="D40" s="1318"/>
      <c r="E40" s="1318"/>
      <c r="F40" s="1318"/>
      <c r="G40" s="1318"/>
      <c r="H40" s="1318"/>
      <c r="I40" s="1318"/>
      <c r="J40" s="1318"/>
      <c r="K40" s="1318"/>
      <c r="L40" s="1318"/>
      <c r="M40" s="1318"/>
      <c r="N40" s="1318"/>
      <c r="O40" s="1318"/>
      <c r="P40" s="1318"/>
      <c r="Q40" s="1318"/>
      <c r="R40" s="1321"/>
      <c r="S40" s="563">
        <f>SUM(C40:R40)</f>
        <v>0</v>
      </c>
    </row>
    <row r="41" spans="1:19" ht="11.25" customHeight="1" x14ac:dyDescent="0.25">
      <c r="A41" s="249" t="s">
        <v>1588</v>
      </c>
      <c r="B41" s="562">
        <v>4</v>
      </c>
      <c r="C41" s="1424"/>
      <c r="D41" s="1424"/>
      <c r="E41" s="1424"/>
      <c r="F41" s="1424"/>
      <c r="G41" s="1424"/>
      <c r="H41" s="1424"/>
      <c r="I41" s="1424"/>
      <c r="J41" s="1424"/>
      <c r="K41" s="1424"/>
      <c r="L41" s="1424"/>
      <c r="M41" s="1424"/>
      <c r="N41" s="1424"/>
      <c r="O41" s="1424"/>
      <c r="P41" s="1424"/>
      <c r="Q41" s="1424"/>
      <c r="R41" s="1427"/>
    </row>
    <row r="42" spans="1:19" ht="11.25" customHeight="1" x14ac:dyDescent="0.25">
      <c r="A42" s="249" t="s">
        <v>1506</v>
      </c>
      <c r="B42" s="562"/>
      <c r="C42" s="1331"/>
      <c r="D42" s="1331"/>
      <c r="E42" s="1331"/>
      <c r="F42" s="1331"/>
      <c r="G42" s="1331"/>
      <c r="H42" s="1331"/>
      <c r="I42" s="1331"/>
      <c r="J42" s="1331"/>
      <c r="K42" s="1331"/>
      <c r="L42" s="1331"/>
      <c r="M42" s="1331"/>
      <c r="N42" s="1331"/>
      <c r="O42" s="1331"/>
      <c r="P42" s="1331"/>
      <c r="Q42" s="1331"/>
      <c r="R42" s="1336"/>
      <c r="S42" s="338"/>
    </row>
    <row r="43" spans="1:19" ht="15.75" customHeight="1" x14ac:dyDescent="0.25">
      <c r="A43" s="249" t="s">
        <v>420</v>
      </c>
      <c r="B43" s="562"/>
      <c r="C43" s="1452"/>
      <c r="D43" s="1452"/>
      <c r="E43" s="1452"/>
      <c r="F43" s="1452"/>
      <c r="G43" s="1452"/>
      <c r="H43" s="1452"/>
      <c r="I43" s="1452"/>
      <c r="J43" s="1452"/>
      <c r="K43" s="1452"/>
      <c r="L43" s="1452"/>
      <c r="M43" s="1452"/>
      <c r="N43" s="1452"/>
      <c r="O43" s="1452"/>
      <c r="P43" s="1452"/>
      <c r="Q43" s="1452"/>
      <c r="R43" s="1453"/>
      <c r="S43" s="338"/>
    </row>
    <row r="44" spans="1:19" ht="11.25" customHeight="1" x14ac:dyDescent="0.25">
      <c r="A44" s="249" t="s">
        <v>521</v>
      </c>
      <c r="B44" s="562"/>
      <c r="C44" s="1331"/>
      <c r="D44" s="1331"/>
      <c r="E44" s="1331"/>
      <c r="F44" s="1331"/>
      <c r="G44" s="1331"/>
      <c r="H44" s="1331"/>
      <c r="I44" s="1331"/>
      <c r="J44" s="1331"/>
      <c r="K44" s="1331"/>
      <c r="L44" s="1331"/>
      <c r="M44" s="1331"/>
      <c r="N44" s="1331"/>
      <c r="O44" s="1331"/>
      <c r="P44" s="1331"/>
      <c r="Q44" s="1331"/>
      <c r="R44" s="1336"/>
      <c r="S44" s="338"/>
    </row>
    <row r="45" spans="1:19" ht="11.25" customHeight="1" x14ac:dyDescent="0.25">
      <c r="A45" s="249" t="s">
        <v>522</v>
      </c>
      <c r="B45" s="562"/>
      <c r="C45" s="1331"/>
      <c r="D45" s="1331"/>
      <c r="E45" s="1331"/>
      <c r="F45" s="1331"/>
      <c r="G45" s="1331"/>
      <c r="H45" s="1331"/>
      <c r="I45" s="1331"/>
      <c r="J45" s="1331"/>
      <c r="K45" s="1331"/>
      <c r="L45" s="1331"/>
      <c r="M45" s="1331"/>
      <c r="N45" s="1331"/>
      <c r="O45" s="1331"/>
      <c r="P45" s="1331"/>
      <c r="Q45" s="1331"/>
      <c r="R45" s="1336"/>
      <c r="S45" s="338"/>
    </row>
    <row r="46" spans="1:19" ht="11.25" customHeight="1" x14ac:dyDescent="0.25">
      <c r="A46" s="249" t="s">
        <v>523</v>
      </c>
      <c r="B46" s="562"/>
      <c r="C46" s="1331"/>
      <c r="D46" s="1331"/>
      <c r="E46" s="1331"/>
      <c r="F46" s="1331"/>
      <c r="G46" s="1331"/>
      <c r="H46" s="1331"/>
      <c r="I46" s="1331"/>
      <c r="J46" s="1331"/>
      <c r="K46" s="1331"/>
      <c r="L46" s="1331"/>
      <c r="M46" s="1331"/>
      <c r="N46" s="1331"/>
      <c r="O46" s="1331"/>
      <c r="P46" s="1331"/>
      <c r="Q46" s="1331"/>
      <c r="R46" s="1336"/>
      <c r="S46" s="338"/>
    </row>
    <row r="47" spans="1:19" ht="11.25" customHeight="1" x14ac:dyDescent="0.25">
      <c r="A47" s="249" t="s">
        <v>1505</v>
      </c>
      <c r="B47" s="562"/>
      <c r="C47" s="1331"/>
      <c r="D47" s="1331"/>
      <c r="E47" s="1331"/>
      <c r="F47" s="1331"/>
      <c r="G47" s="1331"/>
      <c r="H47" s="1331"/>
      <c r="I47" s="1331"/>
      <c r="J47" s="1331"/>
      <c r="K47" s="1331"/>
      <c r="L47" s="1331"/>
      <c r="M47" s="1331"/>
      <c r="N47" s="1331"/>
      <c r="O47" s="1331"/>
      <c r="P47" s="1331"/>
      <c r="Q47" s="1331"/>
      <c r="R47" s="1336"/>
      <c r="S47" s="338"/>
    </row>
    <row r="48" spans="1:19" ht="11.25" customHeight="1" x14ac:dyDescent="0.25">
      <c r="A48" s="566" t="s">
        <v>663</v>
      </c>
      <c r="B48" s="555"/>
      <c r="C48" s="564"/>
      <c r="D48" s="564"/>
      <c r="E48" s="564"/>
      <c r="F48" s="564"/>
      <c r="G48" s="564"/>
      <c r="H48" s="564"/>
      <c r="I48" s="564"/>
      <c r="J48" s="564"/>
      <c r="K48" s="564"/>
      <c r="L48" s="564"/>
      <c r="M48" s="564"/>
      <c r="N48" s="564"/>
      <c r="O48" s="564"/>
      <c r="P48" s="564"/>
      <c r="Q48" s="564"/>
      <c r="R48" s="565"/>
      <c r="S48" s="338"/>
    </row>
    <row r="49" spans="1:19" ht="5.0999999999999996" customHeight="1" x14ac:dyDescent="0.25">
      <c r="A49" s="567"/>
      <c r="B49" s="361"/>
      <c r="C49" s="545"/>
      <c r="D49" s="545"/>
      <c r="E49" s="545"/>
      <c r="F49" s="545"/>
      <c r="G49" s="545"/>
      <c r="H49" s="545"/>
      <c r="I49" s="545"/>
      <c r="J49" s="545"/>
      <c r="K49" s="545"/>
      <c r="L49" s="545"/>
      <c r="M49" s="545"/>
      <c r="N49" s="545"/>
      <c r="O49" s="545"/>
      <c r="P49" s="545"/>
      <c r="Q49" s="545"/>
      <c r="R49" s="546"/>
    </row>
    <row r="50" spans="1:19" s="625" customFormat="1" x14ac:dyDescent="0.25">
      <c r="A50" s="1009" t="str">
        <f>head27a</f>
        <v>References</v>
      </c>
      <c r="B50" s="863"/>
      <c r="C50" s="841"/>
      <c r="D50" s="841"/>
      <c r="E50" s="841"/>
      <c r="F50" s="841"/>
      <c r="G50" s="841"/>
      <c r="H50" s="841"/>
      <c r="I50" s="841"/>
      <c r="J50" s="841"/>
      <c r="K50" s="841"/>
      <c r="L50" s="841"/>
      <c r="M50" s="841"/>
      <c r="N50" s="841"/>
      <c r="O50" s="841"/>
      <c r="P50" s="841"/>
      <c r="Q50" s="841"/>
      <c r="R50" s="841"/>
    </row>
    <row r="51" spans="1:19" s="625" customFormat="1" x14ac:dyDescent="0.25">
      <c r="A51" s="1137" t="s">
        <v>533</v>
      </c>
      <c r="B51" s="863"/>
      <c r="C51" s="841"/>
      <c r="D51" s="841"/>
      <c r="E51" s="841"/>
      <c r="F51" s="841"/>
      <c r="G51" s="841"/>
      <c r="H51" s="841"/>
      <c r="I51" s="841"/>
      <c r="J51" s="841"/>
      <c r="K51" s="841"/>
      <c r="L51" s="841"/>
      <c r="M51" s="841"/>
      <c r="N51" s="841"/>
      <c r="O51" s="841"/>
      <c r="P51" s="841"/>
      <c r="Q51" s="841"/>
      <c r="R51" s="841"/>
    </row>
    <row r="52" spans="1:19" s="625" customFormat="1" x14ac:dyDescent="0.25">
      <c r="A52" s="1137" t="s">
        <v>534</v>
      </c>
      <c r="B52" s="863"/>
      <c r="C52" s="841"/>
      <c r="D52" s="841"/>
      <c r="E52" s="841"/>
      <c r="F52" s="841"/>
      <c r="G52" s="841"/>
      <c r="H52" s="841"/>
      <c r="I52" s="841"/>
      <c r="J52" s="841"/>
      <c r="K52" s="841"/>
      <c r="L52" s="841"/>
      <c r="M52" s="841"/>
      <c r="N52" s="841"/>
      <c r="O52" s="841"/>
      <c r="P52" s="841"/>
      <c r="Q52" s="841"/>
      <c r="R52" s="841"/>
    </row>
    <row r="53" spans="1:19" s="625" customFormat="1" x14ac:dyDescent="0.25">
      <c r="A53" s="1010" t="s">
        <v>535</v>
      </c>
      <c r="B53" s="863"/>
      <c r="C53" s="841"/>
      <c r="D53" s="841"/>
      <c r="E53" s="841"/>
      <c r="F53" s="841"/>
      <c r="G53" s="841"/>
      <c r="H53" s="841"/>
      <c r="I53" s="841"/>
      <c r="J53" s="841"/>
      <c r="K53" s="841"/>
      <c r="L53" s="841"/>
      <c r="M53" s="841"/>
      <c r="N53" s="841"/>
      <c r="O53" s="841"/>
      <c r="P53" s="841"/>
      <c r="Q53" s="841"/>
      <c r="R53" s="841"/>
    </row>
    <row r="54" spans="1:19" s="625" customFormat="1" x14ac:dyDescent="0.25">
      <c r="A54" s="1137" t="s">
        <v>536</v>
      </c>
      <c r="B54" s="863"/>
      <c r="C54" s="841"/>
      <c r="D54" s="841"/>
      <c r="E54" s="841"/>
      <c r="F54" s="841"/>
      <c r="G54" s="841"/>
      <c r="H54" s="841"/>
      <c r="I54" s="841"/>
      <c r="J54" s="841"/>
      <c r="K54" s="841"/>
      <c r="L54" s="841"/>
      <c r="M54" s="841"/>
      <c r="N54" s="841"/>
      <c r="O54" s="841"/>
      <c r="P54" s="841"/>
      <c r="Q54" s="841"/>
      <c r="R54" s="841"/>
    </row>
    <row r="55" spans="1:19" s="625" customFormat="1" x14ac:dyDescent="0.25">
      <c r="A55" s="962" t="s">
        <v>1612</v>
      </c>
      <c r="B55" s="863"/>
      <c r="C55" s="841"/>
      <c r="D55" s="841"/>
      <c r="E55" s="841"/>
      <c r="F55" s="841"/>
      <c r="G55" s="841"/>
      <c r="H55" s="841"/>
      <c r="I55" s="841"/>
      <c r="J55" s="841"/>
      <c r="K55" s="841"/>
      <c r="L55" s="841"/>
      <c r="M55" s="841"/>
      <c r="N55" s="841"/>
      <c r="O55" s="841"/>
      <c r="P55" s="841"/>
      <c r="Q55" s="841"/>
      <c r="R55" s="841"/>
    </row>
    <row r="56" spans="1:19" s="625" customFormat="1" x14ac:dyDescent="0.25">
      <c r="A56" s="962" t="s">
        <v>1614</v>
      </c>
      <c r="B56" s="863"/>
      <c r="C56" s="841"/>
      <c r="D56" s="841"/>
      <c r="E56" s="841"/>
      <c r="F56" s="841"/>
      <c r="G56" s="841"/>
      <c r="H56" s="841"/>
      <c r="I56" s="841"/>
      <c r="J56" s="841"/>
      <c r="K56" s="841"/>
      <c r="L56" s="841"/>
      <c r="M56" s="841"/>
      <c r="N56" s="841"/>
      <c r="O56" s="841"/>
      <c r="P56" s="841"/>
      <c r="Q56" s="841"/>
      <c r="R56" s="841"/>
    </row>
    <row r="57" spans="1:19" ht="15.75" customHeight="1" x14ac:dyDescent="0.25">
      <c r="A57" s="1764"/>
      <c r="B57" s="1764"/>
      <c r="C57" s="748"/>
      <c r="D57" s="748"/>
      <c r="E57" s="748"/>
      <c r="F57" s="748"/>
      <c r="G57" s="748"/>
      <c r="H57" s="748"/>
      <c r="I57" s="748"/>
      <c r="J57" s="748"/>
      <c r="K57" s="748"/>
      <c r="L57" s="748"/>
      <c r="M57" s="748"/>
      <c r="N57" s="748"/>
      <c r="O57" s="748"/>
      <c r="P57" s="748"/>
      <c r="Q57" s="748"/>
      <c r="R57" s="748"/>
      <c r="S57" s="328"/>
    </row>
    <row r="58" spans="1:19" ht="38.25" customHeight="1" x14ac:dyDescent="0.25">
      <c r="A58" s="1765"/>
      <c r="B58" s="1766"/>
      <c r="C58" s="1767"/>
      <c r="D58" s="1767"/>
      <c r="E58" s="1767"/>
      <c r="F58" s="1767"/>
      <c r="G58" s="1767"/>
      <c r="H58" s="1767"/>
      <c r="I58" s="1767"/>
      <c r="J58" s="1767"/>
      <c r="K58" s="1767"/>
      <c r="L58" s="1767"/>
      <c r="M58" s="1767"/>
      <c r="N58" s="1767"/>
      <c r="O58" s="1767"/>
      <c r="P58" s="1767"/>
      <c r="Q58" s="1767"/>
      <c r="R58" s="1767"/>
      <c r="S58" s="328"/>
    </row>
    <row r="59" spans="1:19" ht="11.25" customHeight="1" x14ac:dyDescent="0.25">
      <c r="A59" s="1775"/>
      <c r="B59" s="1769"/>
      <c r="C59" s="234"/>
      <c r="D59" s="234"/>
      <c r="E59" s="234"/>
      <c r="F59" s="234"/>
      <c r="G59" s="234"/>
      <c r="H59" s="234"/>
      <c r="I59" s="234"/>
      <c r="J59" s="234"/>
      <c r="K59" s="234"/>
      <c r="L59" s="234"/>
      <c r="M59" s="234"/>
      <c r="N59" s="234"/>
      <c r="O59" s="234"/>
      <c r="P59" s="234"/>
      <c r="Q59" s="234"/>
      <c r="R59" s="234"/>
      <c r="S59" s="328"/>
    </row>
    <row r="60" spans="1:19" ht="11.25" customHeight="1" x14ac:dyDescent="0.25">
      <c r="A60" s="1775"/>
      <c r="B60" s="1769"/>
      <c r="C60" s="234"/>
      <c r="D60" s="234"/>
      <c r="E60" s="234"/>
      <c r="F60" s="234"/>
      <c r="G60" s="234"/>
      <c r="H60" s="234"/>
      <c r="I60" s="234"/>
      <c r="J60" s="234"/>
      <c r="K60" s="234"/>
      <c r="L60" s="234"/>
      <c r="M60" s="234"/>
      <c r="N60" s="234"/>
      <c r="O60" s="234"/>
      <c r="P60" s="234"/>
      <c r="Q60" s="234"/>
      <c r="R60" s="234"/>
      <c r="S60" s="328"/>
    </row>
    <row r="61" spans="1:19" ht="11.25" customHeight="1" x14ac:dyDescent="0.25">
      <c r="A61" s="1768"/>
      <c r="B61" s="1769"/>
      <c r="C61" s="1588"/>
      <c r="D61" s="1588"/>
      <c r="E61" s="1588"/>
      <c r="F61" s="1588"/>
      <c r="G61" s="1588"/>
      <c r="H61" s="1588"/>
      <c r="I61" s="1588"/>
      <c r="J61" s="1588"/>
      <c r="K61" s="1588"/>
      <c r="L61" s="1588"/>
      <c r="M61" s="1588"/>
      <c r="N61" s="1588"/>
      <c r="O61" s="1588"/>
      <c r="P61" s="1588"/>
      <c r="Q61" s="1588"/>
      <c r="R61" s="1588"/>
      <c r="S61" s="328"/>
    </row>
    <row r="62" spans="1:19" ht="11.25" customHeight="1" x14ac:dyDescent="0.25">
      <c r="A62" s="1768"/>
      <c r="B62" s="1769"/>
      <c r="C62" s="1588"/>
      <c r="D62" s="1588"/>
      <c r="E62" s="1588"/>
      <c r="F62" s="1588"/>
      <c r="G62" s="1588"/>
      <c r="H62" s="1588"/>
      <c r="I62" s="1588"/>
      <c r="J62" s="1588"/>
      <c r="K62" s="1588"/>
      <c r="L62" s="1588"/>
      <c r="M62" s="1588"/>
      <c r="N62" s="1588"/>
      <c r="O62" s="1588"/>
      <c r="P62" s="1588"/>
      <c r="Q62" s="1588"/>
      <c r="R62" s="1588"/>
      <c r="S62" s="328"/>
    </row>
    <row r="63" spans="1:19" ht="11.25" customHeight="1" x14ac:dyDescent="0.25">
      <c r="A63" s="1768"/>
      <c r="B63" s="1769"/>
      <c r="C63" s="1588"/>
      <c r="D63" s="1588"/>
      <c r="E63" s="1588"/>
      <c r="F63" s="1588"/>
      <c r="G63" s="1588"/>
      <c r="H63" s="1588"/>
      <c r="I63" s="1588"/>
      <c r="J63" s="1588"/>
      <c r="K63" s="1588"/>
      <c r="L63" s="1588"/>
      <c r="M63" s="1588"/>
      <c r="N63" s="1588"/>
      <c r="O63" s="1588"/>
      <c r="P63" s="1588"/>
      <c r="Q63" s="1588"/>
      <c r="R63" s="1588"/>
      <c r="S63" s="328"/>
    </row>
    <row r="64" spans="1:19" ht="11.25" customHeight="1" x14ac:dyDescent="0.25">
      <c r="A64" s="1768"/>
      <c r="B64" s="1769"/>
      <c r="C64" s="1588"/>
      <c r="D64" s="1588"/>
      <c r="E64" s="1588"/>
      <c r="F64" s="1588"/>
      <c r="G64" s="1588"/>
      <c r="H64" s="1588"/>
      <c r="I64" s="1588"/>
      <c r="J64" s="1588"/>
      <c r="K64" s="1588"/>
      <c r="L64" s="1588"/>
      <c r="M64" s="1588"/>
      <c r="N64" s="1588"/>
      <c r="O64" s="1588"/>
      <c r="P64" s="1588"/>
      <c r="Q64" s="1588"/>
      <c r="R64" s="1588"/>
      <c r="S64" s="328"/>
    </row>
    <row r="65" spans="1:19" ht="11.25" customHeight="1" x14ac:dyDescent="0.25">
      <c r="A65" s="1768"/>
      <c r="B65" s="1769"/>
      <c r="C65" s="1588"/>
      <c r="D65" s="1588"/>
      <c r="E65" s="1588"/>
      <c r="F65" s="1588"/>
      <c r="G65" s="1588"/>
      <c r="H65" s="1588"/>
      <c r="I65" s="1588"/>
      <c r="J65" s="1588"/>
      <c r="K65" s="1588"/>
      <c r="L65" s="1588"/>
      <c r="M65" s="1588"/>
      <c r="N65" s="1588"/>
      <c r="O65" s="1588"/>
      <c r="P65" s="1588"/>
      <c r="Q65" s="1588"/>
      <c r="R65" s="1588"/>
      <c r="S65" s="328"/>
    </row>
    <row r="66" spans="1:19" ht="11.25" customHeight="1" x14ac:dyDescent="0.25">
      <c r="A66" s="1768"/>
      <c r="B66" s="1769"/>
      <c r="C66" s="1588"/>
      <c r="D66" s="1588"/>
      <c r="E66" s="1588"/>
      <c r="F66" s="1588"/>
      <c r="G66" s="1588"/>
      <c r="H66" s="1588"/>
      <c r="I66" s="1588"/>
      <c r="J66" s="1588"/>
      <c r="K66" s="1588"/>
      <c r="L66" s="1588"/>
      <c r="M66" s="1588"/>
      <c r="N66" s="1588"/>
      <c r="O66" s="1588"/>
      <c r="P66" s="1588"/>
      <c r="Q66" s="1588"/>
      <c r="R66" s="1588"/>
      <c r="S66" s="328"/>
    </row>
    <row r="67" spans="1:19" ht="11.25" customHeight="1" x14ac:dyDescent="0.25">
      <c r="A67" s="1768"/>
      <c r="B67" s="1769"/>
      <c r="C67" s="1588"/>
      <c r="D67" s="1588"/>
      <c r="E67" s="1588"/>
      <c r="F67" s="1588"/>
      <c r="G67" s="1588"/>
      <c r="H67" s="1588"/>
      <c r="I67" s="1588"/>
      <c r="J67" s="1588"/>
      <c r="K67" s="1588"/>
      <c r="L67" s="1588"/>
      <c r="M67" s="1588"/>
      <c r="N67" s="1588"/>
      <c r="O67" s="1588"/>
      <c r="P67" s="1588"/>
      <c r="Q67" s="1588"/>
      <c r="R67" s="1588"/>
      <c r="S67" s="328"/>
    </row>
    <row r="68" spans="1:19" ht="11.25" customHeight="1" x14ac:dyDescent="0.25">
      <c r="A68" s="1768"/>
      <c r="B68" s="1769"/>
      <c r="C68" s="1588"/>
      <c r="D68" s="1588"/>
      <c r="E68" s="1588"/>
      <c r="F68" s="1588"/>
      <c r="G68" s="1588"/>
      <c r="H68" s="1588"/>
      <c r="I68" s="1588"/>
      <c r="J68" s="1588"/>
      <c r="K68" s="1588"/>
      <c r="L68" s="1588"/>
      <c r="M68" s="1588"/>
      <c r="N68" s="1588"/>
      <c r="O68" s="1588"/>
      <c r="P68" s="1588"/>
      <c r="Q68" s="1588"/>
      <c r="R68" s="1588"/>
      <c r="S68" s="328"/>
    </row>
    <row r="69" spans="1:19" ht="11.25" customHeight="1" x14ac:dyDescent="0.25">
      <c r="A69" s="1768"/>
      <c r="B69" s="1769"/>
      <c r="C69" s="1588"/>
      <c r="D69" s="1588"/>
      <c r="E69" s="1588"/>
      <c r="F69" s="1588"/>
      <c r="G69" s="1588"/>
      <c r="H69" s="1588"/>
      <c r="I69" s="1588"/>
      <c r="J69" s="1588"/>
      <c r="K69" s="1588"/>
      <c r="L69" s="1588"/>
      <c r="M69" s="1588"/>
      <c r="N69" s="1588"/>
      <c r="O69" s="1588"/>
      <c r="P69" s="1588"/>
      <c r="Q69" s="1588"/>
      <c r="R69" s="1588"/>
      <c r="S69" s="328"/>
    </row>
    <row r="70" spans="1:19" ht="11.25" customHeight="1" x14ac:dyDescent="0.25">
      <c r="A70" s="1768"/>
      <c r="B70" s="1769"/>
      <c r="C70" s="1588"/>
      <c r="D70" s="1588"/>
      <c r="E70" s="1588"/>
      <c r="F70" s="1588"/>
      <c r="G70" s="1588"/>
      <c r="H70" s="1588"/>
      <c r="I70" s="1588"/>
      <c r="J70" s="1588"/>
      <c r="K70" s="1588"/>
      <c r="L70" s="1588"/>
      <c r="M70" s="1588"/>
      <c r="N70" s="1588"/>
      <c r="O70" s="1588"/>
      <c r="P70" s="1588"/>
      <c r="Q70" s="1588"/>
      <c r="R70" s="1588"/>
      <c r="S70" s="328"/>
    </row>
    <row r="71" spans="1:19" ht="11.25" customHeight="1" x14ac:dyDescent="0.25">
      <c r="A71" s="1768"/>
      <c r="B71" s="1769"/>
      <c r="C71" s="1588"/>
      <c r="D71" s="1588"/>
      <c r="E71" s="1588"/>
      <c r="F71" s="1588"/>
      <c r="G71" s="1588"/>
      <c r="H71" s="1588"/>
      <c r="I71" s="1588"/>
      <c r="J71" s="1588"/>
      <c r="K71" s="1588"/>
      <c r="L71" s="1588"/>
      <c r="M71" s="1588"/>
      <c r="N71" s="1588"/>
      <c r="O71" s="1588"/>
      <c r="P71" s="1588"/>
      <c r="Q71" s="1588"/>
      <c r="R71" s="1588"/>
      <c r="S71" s="328"/>
    </row>
    <row r="72" spans="1:19" ht="11.25" customHeight="1" x14ac:dyDescent="0.25">
      <c r="A72" s="1768"/>
      <c r="B72" s="1769"/>
      <c r="C72" s="1776"/>
      <c r="D72" s="1776"/>
      <c r="E72" s="1776"/>
      <c r="F72" s="1776"/>
      <c r="G72" s="1776"/>
      <c r="H72" s="1776"/>
      <c r="I72" s="1777"/>
      <c r="J72" s="1776"/>
      <c r="K72" s="1776"/>
      <c r="L72" s="1776"/>
      <c r="M72" s="1776"/>
      <c r="N72" s="1776"/>
      <c r="O72" s="1776"/>
      <c r="P72" s="1776"/>
      <c r="Q72" s="1776"/>
      <c r="R72" s="1776"/>
      <c r="S72" s="328"/>
    </row>
    <row r="73" spans="1:19" ht="11.25" customHeight="1" x14ac:dyDescent="0.25">
      <c r="A73" s="1768"/>
      <c r="B73" s="1769"/>
      <c r="C73" s="1778"/>
      <c r="D73" s="1778"/>
      <c r="E73" s="1778"/>
      <c r="F73" s="1778"/>
      <c r="G73" s="1778"/>
      <c r="H73" s="1778"/>
      <c r="I73" s="1778"/>
      <c r="J73" s="1778"/>
      <c r="K73" s="1778"/>
      <c r="L73" s="1778"/>
      <c r="M73" s="1778"/>
      <c r="N73" s="1778"/>
      <c r="O73" s="1778"/>
      <c r="P73" s="1778"/>
      <c r="Q73" s="1778"/>
      <c r="R73" s="1778"/>
      <c r="S73" s="328"/>
    </row>
    <row r="74" spans="1:19" ht="11.25" customHeight="1" x14ac:dyDescent="0.25">
      <c r="A74" s="1768"/>
      <c r="B74" s="1769"/>
      <c r="C74" s="1779"/>
      <c r="D74" s="1779"/>
      <c r="E74" s="1779"/>
      <c r="F74" s="1779"/>
      <c r="G74" s="1779"/>
      <c r="H74" s="1779"/>
      <c r="I74" s="1779"/>
      <c r="J74" s="1779"/>
      <c r="K74" s="1779"/>
      <c r="L74" s="1779"/>
      <c r="M74" s="1779"/>
      <c r="N74" s="1779"/>
      <c r="O74" s="1779"/>
      <c r="P74" s="1779"/>
      <c r="Q74" s="1779"/>
      <c r="R74" s="1779"/>
      <c r="S74" s="328"/>
    </row>
    <row r="75" spans="1:19" ht="11.25" customHeight="1" x14ac:dyDescent="0.25">
      <c r="A75" s="1768"/>
      <c r="B75" s="1769"/>
      <c r="C75" s="1778"/>
      <c r="D75" s="1778"/>
      <c r="E75" s="1778"/>
      <c r="F75" s="1778"/>
      <c r="G75" s="1778"/>
      <c r="H75" s="1778"/>
      <c r="I75" s="1778"/>
      <c r="J75" s="1778"/>
      <c r="K75" s="1778"/>
      <c r="L75" s="1778"/>
      <c r="M75" s="1778"/>
      <c r="N75" s="1778"/>
      <c r="O75" s="1778"/>
      <c r="P75" s="1778"/>
      <c r="Q75" s="1778"/>
      <c r="R75" s="1778"/>
      <c r="S75" s="328"/>
    </row>
    <row r="76" spans="1:19" ht="11.25" customHeight="1" x14ac:dyDescent="0.25">
      <c r="A76" s="1768"/>
      <c r="B76" s="1769"/>
      <c r="C76" s="1778"/>
      <c r="D76" s="1778"/>
      <c r="E76" s="1778"/>
      <c r="F76" s="1778"/>
      <c r="G76" s="1778"/>
      <c r="H76" s="1778"/>
      <c r="I76" s="1778"/>
      <c r="J76" s="1778"/>
      <c r="K76" s="1778"/>
      <c r="L76" s="1778"/>
      <c r="M76" s="1778"/>
      <c r="N76" s="1778"/>
      <c r="O76" s="1778"/>
      <c r="P76" s="1778"/>
      <c r="Q76" s="1778"/>
      <c r="R76" s="1778"/>
      <c r="S76" s="328"/>
    </row>
    <row r="77" spans="1:19" ht="11.25" customHeight="1" x14ac:dyDescent="0.25">
      <c r="A77" s="1768"/>
      <c r="B77" s="1769"/>
      <c r="C77" s="1778"/>
      <c r="D77" s="1778"/>
      <c r="E77" s="1778"/>
      <c r="F77" s="1778"/>
      <c r="G77" s="1778"/>
      <c r="H77" s="1778"/>
      <c r="I77" s="1778"/>
      <c r="J77" s="1778"/>
      <c r="K77" s="1778"/>
      <c r="L77" s="1778"/>
      <c r="M77" s="1778"/>
      <c r="N77" s="1778"/>
      <c r="O77" s="1778"/>
      <c r="P77" s="1778"/>
      <c r="Q77" s="1778"/>
      <c r="R77" s="1778"/>
      <c r="S77" s="328"/>
    </row>
    <row r="78" spans="1:19" ht="11.25" customHeight="1" x14ac:dyDescent="0.25">
      <c r="A78" s="1768"/>
      <c r="B78" s="1772"/>
      <c r="C78" s="1778"/>
      <c r="D78" s="1778"/>
      <c r="E78" s="1778"/>
      <c r="F78" s="1778"/>
      <c r="G78" s="1778"/>
      <c r="H78" s="1778"/>
      <c r="I78" s="1778"/>
      <c r="J78" s="1778"/>
      <c r="K78" s="1778"/>
      <c r="L78" s="1778"/>
      <c r="M78" s="1778"/>
      <c r="N78" s="1778"/>
      <c r="O78" s="1778"/>
      <c r="P78" s="1778"/>
      <c r="Q78" s="1778"/>
      <c r="R78" s="1778"/>
      <c r="S78" s="328"/>
    </row>
    <row r="79" spans="1:19" ht="11.25" customHeight="1" x14ac:dyDescent="0.25">
      <c r="A79" s="1768"/>
      <c r="B79" s="1772"/>
      <c r="C79" s="1778"/>
      <c r="D79" s="1778"/>
      <c r="E79" s="1778"/>
      <c r="F79" s="1778"/>
      <c r="G79" s="1778"/>
      <c r="H79" s="1778"/>
      <c r="I79" s="1778"/>
      <c r="J79" s="1778"/>
      <c r="K79" s="1778"/>
      <c r="L79" s="1778"/>
      <c r="M79" s="1778"/>
      <c r="N79" s="1778"/>
      <c r="O79" s="1778"/>
      <c r="P79" s="1778"/>
      <c r="Q79" s="1778"/>
      <c r="R79" s="1778"/>
      <c r="S79" s="328"/>
    </row>
    <row r="80" spans="1:19" ht="11.25" customHeight="1" x14ac:dyDescent="0.25">
      <c r="A80" s="1768"/>
      <c r="B80" s="1772"/>
      <c r="C80" s="1778"/>
      <c r="D80" s="1778"/>
      <c r="E80" s="1778"/>
      <c r="F80" s="1778"/>
      <c r="G80" s="1778"/>
      <c r="H80" s="1778"/>
      <c r="I80" s="1778"/>
      <c r="J80" s="1778"/>
      <c r="K80" s="1778"/>
      <c r="L80" s="1778"/>
      <c r="M80" s="1778"/>
      <c r="N80" s="1778"/>
      <c r="O80" s="1778"/>
      <c r="P80" s="1778"/>
      <c r="Q80" s="1778"/>
      <c r="R80" s="1778"/>
      <c r="S80" s="328"/>
    </row>
    <row r="81" spans="1:19" ht="11.25" customHeight="1" x14ac:dyDescent="0.25">
      <c r="A81" s="1775"/>
      <c r="B81" s="1769"/>
      <c r="C81" s="519"/>
      <c r="D81" s="519"/>
      <c r="E81" s="519"/>
      <c r="F81" s="519"/>
      <c r="G81" s="519"/>
      <c r="H81" s="519"/>
      <c r="I81" s="519"/>
      <c r="J81" s="519"/>
      <c r="K81" s="519"/>
      <c r="L81" s="519"/>
      <c r="M81" s="519"/>
      <c r="N81" s="519"/>
      <c r="O81" s="519"/>
      <c r="P81" s="519"/>
      <c r="Q81" s="519"/>
      <c r="R81" s="519"/>
      <c r="S81" s="328"/>
    </row>
    <row r="82" spans="1:19" ht="11.25" customHeight="1" x14ac:dyDescent="0.25">
      <c r="A82" s="1768"/>
      <c r="B82" s="1769"/>
      <c r="C82" s="1780"/>
      <c r="D82" s="1780"/>
      <c r="E82" s="1780"/>
      <c r="F82" s="1780"/>
      <c r="G82" s="1780"/>
      <c r="H82" s="1780"/>
      <c r="I82" s="1780"/>
      <c r="J82" s="1780"/>
      <c r="K82" s="1780"/>
      <c r="L82" s="1780"/>
      <c r="M82" s="1780"/>
      <c r="N82" s="1780"/>
      <c r="O82" s="1780"/>
      <c r="P82" s="1780"/>
      <c r="Q82" s="1780"/>
      <c r="R82" s="1780"/>
      <c r="S82" s="328"/>
    </row>
    <row r="83" spans="1:19" ht="11.25" customHeight="1" x14ac:dyDescent="0.25">
      <c r="A83" s="1768"/>
      <c r="B83" s="1769"/>
      <c r="C83" s="1780"/>
      <c r="D83" s="1780"/>
      <c r="E83" s="1780"/>
      <c r="F83" s="1780"/>
      <c r="G83" s="1780"/>
      <c r="H83" s="1780"/>
      <c r="I83" s="1780"/>
      <c r="J83" s="1780"/>
      <c r="K83" s="1780"/>
      <c r="L83" s="1780"/>
      <c r="M83" s="1780"/>
      <c r="N83" s="1780"/>
      <c r="O83" s="1780"/>
      <c r="P83" s="1780"/>
      <c r="Q83" s="1780"/>
      <c r="R83" s="1780"/>
      <c r="S83" s="328"/>
    </row>
    <row r="84" spans="1:19" ht="11.25" customHeight="1" x14ac:dyDescent="0.25">
      <c r="A84" s="1768"/>
      <c r="B84" s="1769"/>
      <c r="C84" s="1780"/>
      <c r="D84" s="1780"/>
      <c r="E84" s="1780"/>
      <c r="F84" s="1780"/>
      <c r="G84" s="1780"/>
      <c r="H84" s="1780"/>
      <c r="I84" s="1780"/>
      <c r="J84" s="1780"/>
      <c r="K84" s="1780"/>
      <c r="L84" s="1780"/>
      <c r="M84" s="1780"/>
      <c r="N84" s="1780"/>
      <c r="O84" s="1780"/>
      <c r="P84" s="1780"/>
      <c r="Q84" s="1780"/>
      <c r="R84" s="1780"/>
      <c r="S84" s="328"/>
    </row>
    <row r="85" spans="1:19" ht="11.25" customHeight="1" x14ac:dyDescent="0.25">
      <c r="A85" s="1768"/>
      <c r="B85" s="1769"/>
      <c r="C85" s="1780"/>
      <c r="D85" s="1780"/>
      <c r="E85" s="1780"/>
      <c r="F85" s="1780"/>
      <c r="G85" s="1780"/>
      <c r="H85" s="1780"/>
      <c r="I85" s="1780"/>
      <c r="J85" s="1780"/>
      <c r="K85" s="1780"/>
      <c r="L85" s="1780"/>
      <c r="M85" s="1780"/>
      <c r="N85" s="1780"/>
      <c r="O85" s="1780"/>
      <c r="P85" s="1780"/>
      <c r="Q85" s="1780"/>
      <c r="R85" s="1780"/>
      <c r="S85" s="328"/>
    </row>
    <row r="86" spans="1:19" ht="11.25" customHeight="1" x14ac:dyDescent="0.25">
      <c r="A86" s="1768"/>
      <c r="B86" s="1769"/>
      <c r="C86" s="1780"/>
      <c r="D86" s="1780"/>
      <c r="E86" s="1780"/>
      <c r="F86" s="1780"/>
      <c r="G86" s="1780"/>
      <c r="H86" s="1780"/>
      <c r="I86" s="1780"/>
      <c r="J86" s="1780"/>
      <c r="K86" s="1780"/>
      <c r="L86" s="1780"/>
      <c r="M86" s="1780"/>
      <c r="N86" s="1780"/>
      <c r="O86" s="1780"/>
      <c r="P86" s="1780"/>
      <c r="Q86" s="1780"/>
      <c r="R86" s="1780"/>
      <c r="S86" s="328"/>
    </row>
    <row r="87" spans="1:19" ht="11.25" customHeight="1" x14ac:dyDescent="0.25">
      <c r="A87" s="1768"/>
      <c r="B87" s="1772"/>
      <c r="C87" s="1780"/>
      <c r="D87" s="1780"/>
      <c r="E87" s="1780"/>
      <c r="F87" s="1780"/>
      <c r="G87" s="1780"/>
      <c r="H87" s="1780"/>
      <c r="I87" s="1780"/>
      <c r="J87" s="1780"/>
      <c r="K87" s="1780"/>
      <c r="L87" s="1780"/>
      <c r="M87" s="1780"/>
      <c r="N87" s="1780"/>
      <c r="O87" s="1780"/>
      <c r="P87" s="1780"/>
      <c r="Q87" s="1780"/>
      <c r="R87" s="1780"/>
      <c r="S87" s="328"/>
    </row>
    <row r="88" spans="1:19" ht="11.25" customHeight="1" x14ac:dyDescent="0.25">
      <c r="A88" s="1773"/>
      <c r="B88" s="1769"/>
      <c r="C88" s="1770"/>
      <c r="D88" s="1770"/>
      <c r="E88" s="1770"/>
      <c r="F88" s="1770"/>
      <c r="G88" s="1770"/>
      <c r="H88" s="1770"/>
      <c r="I88" s="1770"/>
      <c r="J88" s="1770"/>
      <c r="K88" s="1770"/>
      <c r="L88" s="1770"/>
      <c r="M88" s="1770"/>
      <c r="N88" s="1770"/>
      <c r="O88" s="1770"/>
      <c r="P88" s="1770"/>
      <c r="Q88" s="1770"/>
      <c r="R88" s="1770"/>
      <c r="S88" s="328"/>
    </row>
    <row r="89" spans="1:19" ht="11.25" customHeight="1" x14ac:dyDescent="0.25">
      <c r="A89" s="1768"/>
      <c r="B89" s="1769"/>
      <c r="C89" s="1781"/>
      <c r="D89" s="1781"/>
      <c r="E89" s="1781"/>
      <c r="F89" s="1781"/>
      <c r="G89" s="1781"/>
      <c r="H89" s="1781"/>
      <c r="I89" s="1781"/>
      <c r="J89" s="1781"/>
      <c r="K89" s="1781"/>
      <c r="L89" s="1781"/>
      <c r="M89" s="1781"/>
      <c r="N89" s="1781"/>
      <c r="O89" s="1781"/>
      <c r="P89" s="1781"/>
      <c r="Q89" s="1781"/>
      <c r="R89" s="1781"/>
      <c r="S89" s="328"/>
    </row>
    <row r="90" spans="1:19" ht="11.25" customHeight="1" x14ac:dyDescent="0.25">
      <c r="A90" s="1768"/>
      <c r="B90" s="1769"/>
      <c r="C90" s="1781"/>
      <c r="D90" s="1781"/>
      <c r="E90" s="1781"/>
      <c r="F90" s="1781"/>
      <c r="G90" s="1781"/>
      <c r="H90" s="1781"/>
      <c r="I90" s="1781"/>
      <c r="J90" s="1781"/>
      <c r="K90" s="1781"/>
      <c r="L90" s="1781"/>
      <c r="M90" s="1781"/>
      <c r="N90" s="1781"/>
      <c r="O90" s="1781"/>
      <c r="P90" s="1781"/>
      <c r="Q90" s="1781"/>
      <c r="R90" s="1781"/>
      <c r="S90" s="328"/>
    </row>
    <row r="91" spans="1:19" ht="11.25" customHeight="1" x14ac:dyDescent="0.25">
      <c r="A91" s="1768"/>
      <c r="B91" s="1769"/>
      <c r="C91" s="1781"/>
      <c r="D91" s="1781"/>
      <c r="E91" s="1781"/>
      <c r="F91" s="1781"/>
      <c r="G91" s="1781"/>
      <c r="H91" s="1781"/>
      <c r="I91" s="1781"/>
      <c r="J91" s="1781"/>
      <c r="K91" s="1781"/>
      <c r="L91" s="1781"/>
      <c r="M91" s="1781"/>
      <c r="N91" s="1781"/>
      <c r="O91" s="1781"/>
      <c r="P91" s="1781"/>
      <c r="Q91" s="1781"/>
      <c r="R91" s="1781"/>
      <c r="S91" s="328"/>
    </row>
    <row r="92" spans="1:19" ht="11.25" customHeight="1" x14ac:dyDescent="0.25">
      <c r="A92" s="1768"/>
      <c r="B92" s="1782"/>
      <c r="C92" s="1783"/>
      <c r="D92" s="1783"/>
      <c r="E92" s="1783"/>
      <c r="F92" s="1783"/>
      <c r="G92" s="1783"/>
      <c r="H92" s="1783"/>
      <c r="I92" s="1783"/>
      <c r="J92" s="1783"/>
      <c r="K92" s="1783"/>
      <c r="L92" s="1783"/>
      <c r="M92" s="1783"/>
      <c r="N92" s="1783"/>
      <c r="O92" s="1783"/>
      <c r="P92" s="1783"/>
      <c r="Q92" s="1783"/>
      <c r="R92" s="1783"/>
      <c r="S92" s="328"/>
    </row>
    <row r="93" spans="1:19" ht="11.25" customHeight="1" x14ac:dyDescent="0.25">
      <c r="A93" s="1775"/>
      <c r="B93" s="1782"/>
      <c r="C93" s="1771"/>
      <c r="D93" s="1771"/>
      <c r="E93" s="1771"/>
      <c r="F93" s="1771"/>
      <c r="G93" s="1771"/>
      <c r="H93" s="1771"/>
      <c r="I93" s="1771"/>
      <c r="J93" s="1771"/>
      <c r="K93" s="1771"/>
      <c r="L93" s="1771"/>
      <c r="M93" s="1771"/>
      <c r="N93" s="1771"/>
      <c r="O93" s="1771"/>
      <c r="P93" s="1771"/>
      <c r="Q93" s="1771"/>
      <c r="R93" s="1771"/>
      <c r="S93" s="328"/>
    </row>
    <row r="94" spans="1:19" ht="11.25" customHeight="1" x14ac:dyDescent="0.25">
      <c r="A94" s="1768"/>
      <c r="B94" s="1772"/>
      <c r="C94" s="1784"/>
      <c r="D94" s="1784"/>
      <c r="E94" s="1784"/>
      <c r="F94" s="1784"/>
      <c r="G94" s="1784"/>
      <c r="H94" s="1784"/>
      <c r="I94" s="1784"/>
      <c r="J94" s="1784"/>
      <c r="K94" s="1784"/>
      <c r="L94" s="1784"/>
      <c r="M94" s="1784"/>
      <c r="N94" s="1784"/>
      <c r="O94" s="1784"/>
      <c r="P94" s="1784"/>
      <c r="Q94" s="1784"/>
      <c r="R94" s="1784"/>
      <c r="S94" s="328"/>
    </row>
    <row r="95" spans="1:19" ht="11.25" customHeight="1" x14ac:dyDescent="0.25">
      <c r="A95" s="1768"/>
      <c r="B95" s="1772"/>
      <c r="C95" s="1067"/>
      <c r="D95" s="1067"/>
      <c r="E95" s="1067"/>
      <c r="F95" s="1067"/>
      <c r="G95" s="1067"/>
      <c r="H95" s="1067"/>
      <c r="I95" s="1067"/>
      <c r="J95" s="1067"/>
      <c r="K95" s="1067"/>
      <c r="L95" s="1067"/>
      <c r="M95" s="1067"/>
      <c r="N95" s="1067"/>
      <c r="O95" s="1067"/>
      <c r="P95" s="1067"/>
      <c r="Q95" s="1067"/>
      <c r="R95" s="1067"/>
      <c r="S95" s="328"/>
    </row>
    <row r="96" spans="1:19" ht="11.25" customHeight="1" x14ac:dyDescent="0.25">
      <c r="A96" s="1768"/>
      <c r="B96" s="1772"/>
      <c r="C96" s="1067"/>
      <c r="D96" s="1067"/>
      <c r="E96" s="1067"/>
      <c r="F96" s="1067"/>
      <c r="G96" s="1067"/>
      <c r="H96" s="1067"/>
      <c r="I96" s="1067"/>
      <c r="J96" s="1067"/>
      <c r="K96" s="1067"/>
      <c r="L96" s="1067"/>
      <c r="M96" s="1067"/>
      <c r="N96" s="1067"/>
      <c r="O96" s="1067"/>
      <c r="P96" s="1067"/>
      <c r="Q96" s="1067"/>
      <c r="R96" s="1067"/>
      <c r="S96" s="328"/>
    </row>
    <row r="97" spans="1:19" ht="11.25" customHeight="1" x14ac:dyDescent="0.25">
      <c r="A97" s="1768"/>
      <c r="B97" s="1772"/>
      <c r="C97" s="1785"/>
      <c r="D97" s="1785"/>
      <c r="E97" s="1785"/>
      <c r="F97" s="1785"/>
      <c r="G97" s="1785"/>
      <c r="H97" s="1785"/>
      <c r="I97" s="1785"/>
      <c r="J97" s="1785"/>
      <c r="K97" s="1785"/>
      <c r="L97" s="1785"/>
      <c r="M97" s="1785"/>
      <c r="N97" s="1785"/>
      <c r="O97" s="1785"/>
      <c r="P97" s="1785"/>
      <c r="Q97" s="1785"/>
      <c r="R97" s="1785"/>
      <c r="S97" s="328"/>
    </row>
    <row r="98" spans="1:19" ht="11.25" customHeight="1" x14ac:dyDescent="0.25">
      <c r="A98" s="1768"/>
      <c r="B98" s="1772"/>
      <c r="C98" s="1786"/>
      <c r="D98" s="1786"/>
      <c r="E98" s="1786"/>
      <c r="F98" s="1786"/>
      <c r="G98" s="1786"/>
      <c r="H98" s="1786"/>
      <c r="I98" s="1786"/>
      <c r="J98" s="1786"/>
      <c r="K98" s="1786"/>
      <c r="L98" s="1786"/>
      <c r="M98" s="1786"/>
      <c r="N98" s="1786"/>
      <c r="O98" s="1786"/>
      <c r="P98" s="1786"/>
      <c r="Q98" s="1786"/>
      <c r="R98" s="1786"/>
      <c r="S98" s="328"/>
    </row>
    <row r="99" spans="1:19" ht="11.25" customHeight="1" x14ac:dyDescent="0.25">
      <c r="A99" s="1768"/>
      <c r="B99" s="1772"/>
      <c r="C99" s="1786"/>
      <c r="D99" s="1786"/>
      <c r="E99" s="1786"/>
      <c r="F99" s="1786"/>
      <c r="G99" s="1786"/>
      <c r="H99" s="1786"/>
      <c r="I99" s="1786"/>
      <c r="J99" s="1786"/>
      <c r="K99" s="1786"/>
      <c r="L99" s="1786"/>
      <c r="M99" s="1786"/>
      <c r="N99" s="1786"/>
      <c r="O99" s="1786"/>
      <c r="P99" s="1786"/>
      <c r="Q99" s="1786"/>
      <c r="R99" s="1786"/>
      <c r="S99" s="328"/>
    </row>
    <row r="100" spans="1:19" ht="11.25" customHeight="1" x14ac:dyDescent="0.25">
      <c r="A100" s="1768"/>
      <c r="B100" s="1772"/>
      <c r="C100" s="1786"/>
      <c r="D100" s="1786"/>
      <c r="E100" s="1786"/>
      <c r="F100" s="1786"/>
      <c r="G100" s="1786"/>
      <c r="H100" s="1786"/>
      <c r="I100" s="1786"/>
      <c r="J100" s="1786"/>
      <c r="K100" s="1786"/>
      <c r="L100" s="1786"/>
      <c r="M100" s="1786"/>
      <c r="N100" s="1786"/>
      <c r="O100" s="1786"/>
      <c r="P100" s="1786"/>
      <c r="Q100" s="1786"/>
      <c r="R100" s="1786"/>
      <c r="S100" s="328"/>
    </row>
    <row r="101" spans="1:19" ht="11.25" customHeight="1" x14ac:dyDescent="0.25">
      <c r="A101" s="1768"/>
      <c r="B101" s="1772"/>
      <c r="C101" s="1786"/>
      <c r="D101" s="1786"/>
      <c r="E101" s="1786"/>
      <c r="F101" s="1786"/>
      <c r="G101" s="1786"/>
      <c r="H101" s="1786"/>
      <c r="I101" s="1786"/>
      <c r="J101" s="1786"/>
      <c r="K101" s="1786"/>
      <c r="L101" s="1786"/>
      <c r="M101" s="1786"/>
      <c r="N101" s="1786"/>
      <c r="O101" s="1786"/>
      <c r="P101" s="1786"/>
      <c r="Q101" s="1786"/>
      <c r="R101" s="1786"/>
      <c r="S101" s="328"/>
    </row>
    <row r="102" spans="1:19" ht="11.25" customHeight="1" x14ac:dyDescent="0.25">
      <c r="A102" s="1768"/>
      <c r="B102" s="1772"/>
      <c r="C102" s="1786"/>
      <c r="D102" s="1786"/>
      <c r="E102" s="1786"/>
      <c r="F102" s="1786"/>
      <c r="G102" s="1786"/>
      <c r="H102" s="1786"/>
      <c r="I102" s="1786"/>
      <c r="J102" s="1786"/>
      <c r="K102" s="1786"/>
      <c r="L102" s="1786"/>
      <c r="M102" s="1786"/>
      <c r="N102" s="1786"/>
      <c r="O102" s="1786"/>
      <c r="P102" s="1786"/>
      <c r="Q102" s="1786"/>
      <c r="R102" s="1786"/>
      <c r="S102" s="328"/>
    </row>
    <row r="103" spans="1:19" ht="11.25" customHeight="1" x14ac:dyDescent="0.25">
      <c r="A103" s="1768"/>
      <c r="B103" s="1772"/>
      <c r="C103" s="1786"/>
      <c r="D103" s="1786"/>
      <c r="E103" s="1786"/>
      <c r="F103" s="1786"/>
      <c r="G103" s="1786"/>
      <c r="H103" s="1786"/>
      <c r="I103" s="1786"/>
      <c r="J103" s="1786"/>
      <c r="K103" s="1786"/>
      <c r="L103" s="1786"/>
      <c r="M103" s="1786"/>
      <c r="N103" s="1786"/>
      <c r="O103" s="1786"/>
      <c r="P103" s="1786"/>
      <c r="Q103" s="1786"/>
      <c r="R103" s="1786"/>
      <c r="S103" s="328"/>
    </row>
    <row r="104" spans="1:19" ht="11.25" customHeight="1" x14ac:dyDescent="0.25">
      <c r="A104" s="1773"/>
      <c r="B104" s="1772"/>
      <c r="C104" s="253"/>
      <c r="D104" s="253"/>
      <c r="E104" s="253"/>
      <c r="F104" s="253"/>
      <c r="G104" s="253"/>
      <c r="H104" s="253"/>
      <c r="I104" s="253"/>
      <c r="J104" s="253"/>
      <c r="K104" s="253"/>
      <c r="L104" s="253"/>
      <c r="M104" s="253"/>
      <c r="N104" s="253"/>
      <c r="O104" s="253"/>
      <c r="P104" s="253"/>
      <c r="Q104" s="253"/>
      <c r="R104" s="253"/>
      <c r="S104" s="328"/>
    </row>
    <row r="105" spans="1:19" ht="5.0999999999999996" customHeight="1" x14ac:dyDescent="0.25">
      <c r="A105" s="1774"/>
      <c r="B105" s="1769"/>
      <c r="C105" s="331"/>
      <c r="D105" s="331"/>
      <c r="E105" s="331"/>
      <c r="F105" s="331"/>
      <c r="G105" s="331"/>
      <c r="H105" s="331"/>
      <c r="I105" s="331"/>
      <c r="J105" s="331"/>
      <c r="K105" s="331"/>
      <c r="L105" s="331"/>
      <c r="M105" s="331"/>
      <c r="N105" s="331"/>
      <c r="O105" s="331"/>
      <c r="P105" s="331"/>
      <c r="Q105" s="331"/>
      <c r="R105" s="331"/>
      <c r="S105" s="328"/>
    </row>
    <row r="106" spans="1:19" s="625" customFormat="1" x14ac:dyDescent="0.25">
      <c r="A106" s="1787"/>
      <c r="B106" s="1778"/>
      <c r="C106" s="839"/>
      <c r="D106" s="839"/>
      <c r="E106" s="839"/>
      <c r="F106" s="839"/>
      <c r="G106" s="839"/>
      <c r="H106" s="839"/>
      <c r="I106" s="839"/>
      <c r="J106" s="839"/>
      <c r="K106" s="839"/>
      <c r="L106" s="839"/>
      <c r="M106" s="839"/>
      <c r="N106" s="839"/>
      <c r="O106" s="839"/>
      <c r="P106" s="839"/>
      <c r="Q106" s="839"/>
      <c r="R106" s="839"/>
      <c r="S106" s="851"/>
    </row>
    <row r="107" spans="1:19" s="625" customFormat="1" x14ac:dyDescent="0.25">
      <c r="A107" s="1788"/>
      <c r="B107" s="1778"/>
      <c r="C107" s="839"/>
      <c r="D107" s="839"/>
      <c r="E107" s="839"/>
      <c r="F107" s="839"/>
      <c r="G107" s="839"/>
      <c r="H107" s="839"/>
      <c r="I107" s="839"/>
      <c r="J107" s="839"/>
      <c r="K107" s="839"/>
      <c r="L107" s="839"/>
      <c r="M107" s="839"/>
      <c r="N107" s="839"/>
      <c r="O107" s="839"/>
      <c r="P107" s="839"/>
      <c r="Q107" s="839"/>
      <c r="R107" s="839"/>
      <c r="S107" s="851"/>
    </row>
    <row r="108" spans="1:19" s="625" customFormat="1" x14ac:dyDescent="0.25">
      <c r="A108" s="1788"/>
      <c r="B108" s="1778"/>
      <c r="C108" s="839"/>
      <c r="D108" s="839"/>
      <c r="E108" s="839"/>
      <c r="F108" s="839"/>
      <c r="G108" s="839"/>
      <c r="H108" s="839"/>
      <c r="I108" s="839"/>
      <c r="J108" s="839"/>
      <c r="K108" s="839"/>
      <c r="L108" s="839"/>
      <c r="M108" s="839"/>
      <c r="N108" s="839"/>
      <c r="O108" s="839"/>
      <c r="P108" s="839"/>
      <c r="Q108" s="839"/>
      <c r="R108" s="839"/>
      <c r="S108" s="851"/>
    </row>
    <row r="109" spans="1:19" s="625" customFormat="1" x14ac:dyDescent="0.25">
      <c r="A109" s="1235"/>
      <c r="B109" s="1778"/>
      <c r="C109" s="839"/>
      <c r="D109" s="839"/>
      <c r="E109" s="839"/>
      <c r="F109" s="839"/>
      <c r="G109" s="839"/>
      <c r="H109" s="839"/>
      <c r="I109" s="839"/>
      <c r="J109" s="839"/>
      <c r="K109" s="839"/>
      <c r="L109" s="839"/>
      <c r="M109" s="839"/>
      <c r="N109" s="839"/>
      <c r="O109" s="839"/>
      <c r="P109" s="839"/>
      <c r="Q109" s="839"/>
      <c r="R109" s="839"/>
      <c r="S109" s="851"/>
    </row>
    <row r="110" spans="1:19" s="625" customFormat="1" x14ac:dyDescent="0.25">
      <c r="A110" s="1788"/>
      <c r="B110" s="1778"/>
      <c r="C110" s="839"/>
      <c r="D110" s="839"/>
      <c r="E110" s="839"/>
      <c r="F110" s="839"/>
      <c r="G110" s="839"/>
      <c r="H110" s="839"/>
      <c r="I110" s="839"/>
      <c r="J110" s="839"/>
      <c r="K110" s="839"/>
      <c r="L110" s="839"/>
      <c r="M110" s="839"/>
      <c r="N110" s="839"/>
      <c r="O110" s="839"/>
      <c r="P110" s="839"/>
      <c r="Q110" s="839"/>
      <c r="R110" s="839"/>
      <c r="S110" s="851"/>
    </row>
    <row r="111" spans="1:19" x14ac:dyDescent="0.25">
      <c r="A111" s="931"/>
      <c r="B111" s="1769"/>
      <c r="C111" s="233"/>
      <c r="D111" s="233"/>
      <c r="E111" s="233"/>
      <c r="F111" s="233"/>
      <c r="G111" s="234"/>
      <c r="H111" s="234"/>
      <c r="I111" s="234"/>
      <c r="J111" s="234"/>
      <c r="K111" s="234"/>
      <c r="L111" s="234"/>
      <c r="M111" s="234"/>
      <c r="N111" s="234"/>
      <c r="O111" s="234"/>
      <c r="P111" s="234"/>
      <c r="Q111" s="234"/>
      <c r="R111" s="234"/>
      <c r="S111" s="328"/>
    </row>
    <row r="112" spans="1:19" x14ac:dyDescent="0.25">
      <c r="A112" s="931"/>
      <c r="B112" s="1769"/>
      <c r="C112" s="233"/>
      <c r="D112" s="233"/>
      <c r="E112" s="233"/>
      <c r="F112" s="233"/>
      <c r="G112" s="234"/>
      <c r="H112" s="234"/>
      <c r="I112" s="234"/>
      <c r="J112" s="234"/>
      <c r="K112" s="234"/>
      <c r="L112" s="234"/>
      <c r="M112" s="234"/>
      <c r="N112" s="234"/>
      <c r="O112" s="234"/>
      <c r="P112" s="234"/>
      <c r="Q112" s="234"/>
      <c r="R112" s="234"/>
      <c r="S112" s="328"/>
    </row>
    <row r="113" spans="1:19" ht="11.25" customHeight="1" x14ac:dyDescent="0.25">
      <c r="A113" s="328"/>
      <c r="B113" s="1769"/>
      <c r="C113" s="328"/>
      <c r="D113" s="328"/>
      <c r="E113" s="328"/>
      <c r="F113" s="328"/>
      <c r="G113" s="328"/>
      <c r="H113" s="328"/>
      <c r="I113" s="328"/>
      <c r="J113" s="328"/>
      <c r="K113" s="328"/>
      <c r="L113" s="328"/>
      <c r="M113" s="328"/>
      <c r="N113" s="328"/>
      <c r="O113" s="328"/>
      <c r="P113" s="328"/>
      <c r="Q113" s="328"/>
      <c r="R113" s="328"/>
      <c r="S113" s="328"/>
    </row>
    <row r="114" spans="1:19" ht="11.25" customHeight="1" x14ac:dyDescent="0.25">
      <c r="A114" s="328"/>
      <c r="B114" s="1774"/>
      <c r="C114" s="328"/>
      <c r="D114" s="328"/>
      <c r="E114" s="328"/>
      <c r="F114" s="328"/>
      <c r="G114" s="328"/>
      <c r="H114" s="328"/>
      <c r="I114" s="328"/>
      <c r="J114" s="328"/>
      <c r="K114" s="328"/>
      <c r="L114" s="328"/>
      <c r="M114" s="328"/>
      <c r="N114" s="328"/>
      <c r="O114" s="328"/>
      <c r="P114" s="328"/>
      <c r="Q114" s="328"/>
      <c r="R114" s="328"/>
      <c r="S114" s="328"/>
    </row>
    <row r="115" spans="1:19" ht="11.25" customHeight="1" x14ac:dyDescent="0.25">
      <c r="A115" s="241"/>
      <c r="B115" s="569"/>
      <c r="C115" s="241"/>
      <c r="D115" s="241"/>
      <c r="E115" s="241"/>
      <c r="F115" s="241"/>
      <c r="G115" s="241"/>
      <c r="H115" s="241"/>
      <c r="I115" s="241"/>
    </row>
    <row r="116" spans="1:19" ht="11.25" customHeight="1" x14ac:dyDescent="0.25">
      <c r="A116" s="241"/>
      <c r="B116" s="569"/>
      <c r="C116" s="241"/>
      <c r="D116" s="241"/>
      <c r="E116" s="241"/>
      <c r="F116" s="241"/>
      <c r="G116" s="241"/>
      <c r="H116" s="241"/>
      <c r="I116" s="241"/>
    </row>
    <row r="117" spans="1:19" ht="11.25" customHeight="1" x14ac:dyDescent="0.25">
      <c r="A117" s="241"/>
      <c r="B117" s="568"/>
      <c r="C117" s="241"/>
      <c r="D117" s="241"/>
      <c r="E117" s="241"/>
      <c r="F117" s="241"/>
      <c r="G117" s="241"/>
      <c r="H117" s="241"/>
      <c r="I117" s="241"/>
    </row>
    <row r="118" spans="1:19" ht="11.25" customHeight="1" x14ac:dyDescent="0.25"/>
    <row r="119" spans="1:19" ht="11.25" customHeight="1" x14ac:dyDescent="0.25"/>
    <row r="120" spans="1:19" ht="11.25" customHeight="1" x14ac:dyDescent="0.25"/>
    <row r="121" spans="1:19" ht="11.25" customHeight="1" x14ac:dyDescent="0.25"/>
    <row r="122" spans="1:19" ht="11.25" customHeight="1" x14ac:dyDescent="0.25"/>
    <row r="123" spans="1:19" ht="11.25" customHeight="1" x14ac:dyDescent="0.25"/>
    <row r="124" spans="1:19" ht="11.25" customHeight="1" x14ac:dyDescent="0.25"/>
    <row r="125" spans="1:19" ht="11.25" customHeight="1" x14ac:dyDescent="0.25"/>
    <row r="126" spans="1:19" ht="11.25" customHeight="1" x14ac:dyDescent="0.25"/>
    <row r="127" spans="1:19" ht="11.25" customHeight="1" x14ac:dyDescent="0.25"/>
    <row r="128" spans="1:19"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sheetData>
  <sheetProtection password="C646" sheet="1" objects="1" scenarios="1"/>
  <dataValidations count="6">
    <dataValidation type="list" showInputMessage="1" showErrorMessage="1" promptTitle="Guidance" prompt="Select Uniform or Variable" sqref="C24:R24 C80:R80">
      <formula1>List7</formula1>
    </dataValidation>
    <dataValidation type="list" showInputMessage="1" showErrorMessage="1" promptTitle="Guidance" prompt="Select Yes or No" sqref="C78:R79 C22:R23">
      <formula1>List6</formula1>
    </dataValidation>
    <dataValidation type="list" allowBlank="1" showInputMessage="1" showErrorMessage="1" promptTitle="Select" prompt="Select one" sqref="C20:R20 C76:R76">
      <formula1>List5</formula1>
    </dataValidation>
    <dataValidation type="list" allowBlank="1" showInputMessage="1" showErrorMessage="1" promptTitle="Select" prompt="Select one" sqref="C19:R19 C75:R75">
      <formula1>List4</formula1>
    </dataValidation>
    <dataValidation type="list" allowBlank="1" showInputMessage="1" showErrorMessage="1" promptTitle="Select" prompt="Select one" sqref="C17:R17 C73:R74">
      <formula1>List2</formula1>
    </dataValidation>
    <dataValidation type="list" allowBlank="1" showInputMessage="1" showErrorMessage="1" promptTitle="Select" prompt="Select one" sqref="C18:R18">
      <formula1>List3</formula1>
    </dataValidation>
  </dataValidations>
  <pageMargins left="0.75" right="0.75" top="1" bottom="1" header="0.5" footer="0.5"/>
  <pageSetup scale="50" orientation="portrait" r:id="rId1"/>
  <headerFooter alignWithMargins="0"/>
  <rowBreaks count="1" manualBreakCount="1">
    <brk id="56"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rgb="FFFF0000"/>
    <pageSetUpPr fitToPage="1"/>
  </sheetPr>
  <dimension ref="A1:S155"/>
  <sheetViews>
    <sheetView showGridLines="0" tabSelected="1" workbookViewId="0">
      <selection activeCell="I39" sqref="I39"/>
    </sheetView>
  </sheetViews>
  <sheetFormatPr defaultRowHeight="12.75" x14ac:dyDescent="0.25"/>
  <cols>
    <col min="1" max="1" width="31.42578125" style="328" customWidth="1"/>
    <col min="2" max="2" width="3.7109375" style="1769" customWidth="1"/>
    <col min="3" max="3" width="17.7109375" style="328" customWidth="1"/>
    <col min="4" max="10" width="9.28515625" style="328" customWidth="1"/>
    <col min="11" max="18" width="8.140625" style="328" customWidth="1"/>
    <col min="19" max="19" width="9.85546875" style="328" customWidth="1"/>
    <col min="20" max="20" width="9.5703125" style="328" customWidth="1"/>
    <col min="21" max="21" width="9.85546875" style="328" customWidth="1"/>
    <col min="22" max="24" width="9.5703125" style="328" customWidth="1"/>
    <col min="25" max="25" width="9.85546875" style="328" customWidth="1"/>
    <col min="26" max="28" width="9.5703125" style="328" customWidth="1"/>
    <col min="29" max="30" width="9.85546875" style="328" customWidth="1"/>
    <col min="31" max="16384" width="9.140625" style="328"/>
  </cols>
  <sheetData>
    <row r="1" spans="1:18" ht="13.5" x14ac:dyDescent="0.25">
      <c r="A1" s="1884" t="str">
        <f>muni&amp;" - "&amp;TableA13</f>
        <v>NC071 Ubuntu - Supporting Table SA13 Service Tariffs by category</v>
      </c>
      <c r="B1" s="146"/>
      <c r="C1" s="146"/>
      <c r="D1" s="146"/>
      <c r="E1" s="146"/>
      <c r="F1" s="146"/>
      <c r="G1" s="146"/>
      <c r="H1" s="146"/>
      <c r="I1" s="146"/>
      <c r="J1" s="146"/>
      <c r="K1" s="748"/>
      <c r="L1" s="748"/>
      <c r="M1" s="748"/>
      <c r="N1" s="748"/>
      <c r="O1" s="748"/>
      <c r="P1" s="748"/>
      <c r="Q1" s="748"/>
      <c r="R1" s="748"/>
    </row>
    <row r="2" spans="1:18" ht="24.95" customHeight="1" x14ac:dyDescent="0.25">
      <c r="A2" s="2727" t="str">
        <f>desc</f>
        <v>Description</v>
      </c>
      <c r="B2" s="2729" t="str">
        <f>head27</f>
        <v>Ref</v>
      </c>
      <c r="C2" s="2750" t="s">
        <v>2102</v>
      </c>
      <c r="D2" s="2750" t="str">
        <f>head1b</f>
        <v>2008/9</v>
      </c>
      <c r="E2" s="2750" t="str">
        <f>head1A</f>
        <v>2009/10</v>
      </c>
      <c r="F2" s="2736" t="str">
        <f>Head1</f>
        <v>2010/11</v>
      </c>
      <c r="G2" s="2744" t="str">
        <f>Head2</f>
        <v>Current Year 2011/12</v>
      </c>
      <c r="H2" s="1868" t="str">
        <f>Head3</f>
        <v>2012/13 Medium Term Revenue &amp; Expenditure Framework</v>
      </c>
      <c r="I2" s="573"/>
      <c r="J2" s="574"/>
      <c r="K2" s="1767"/>
      <c r="L2" s="1767"/>
      <c r="M2" s="1767"/>
      <c r="N2" s="1767"/>
      <c r="O2" s="1767"/>
      <c r="P2" s="1767"/>
      <c r="Q2" s="1767"/>
      <c r="R2" s="1767"/>
    </row>
    <row r="3" spans="1:18" ht="24.95" customHeight="1" x14ac:dyDescent="0.25">
      <c r="A3" s="2728"/>
      <c r="B3" s="2730"/>
      <c r="C3" s="2751"/>
      <c r="D3" s="2751"/>
      <c r="E3" s="2751"/>
      <c r="F3" s="2737"/>
      <c r="G3" s="2745"/>
      <c r="H3" s="150" t="str">
        <f>Head9</f>
        <v>Budget Year 2012/13</v>
      </c>
      <c r="I3" s="576" t="str">
        <f>Head10</f>
        <v>Budget Year +1 2013/14</v>
      </c>
      <c r="J3" s="152" t="str">
        <f>Head11</f>
        <v>Budget Year +2 2014/15</v>
      </c>
      <c r="K3" s="234"/>
      <c r="L3" s="234"/>
      <c r="M3" s="234"/>
      <c r="N3" s="234"/>
      <c r="O3" s="234"/>
      <c r="P3" s="234"/>
      <c r="Q3" s="234"/>
      <c r="R3" s="234"/>
    </row>
    <row r="4" spans="1:18" ht="12.75" customHeight="1" x14ac:dyDescent="0.25">
      <c r="A4" s="461" t="s">
        <v>2103</v>
      </c>
      <c r="B4" s="577">
        <v>1</v>
      </c>
      <c r="C4" s="577"/>
      <c r="D4" s="1869"/>
      <c r="E4" s="1869"/>
      <c r="F4" s="1870"/>
      <c r="G4" s="1871"/>
      <c r="H4" s="1871"/>
      <c r="I4" s="1869"/>
      <c r="J4" s="1870"/>
      <c r="K4" s="234"/>
      <c r="L4" s="234"/>
      <c r="M4" s="234"/>
      <c r="N4" s="234"/>
      <c r="O4" s="234"/>
      <c r="P4" s="234"/>
      <c r="Q4" s="234"/>
      <c r="R4" s="234"/>
    </row>
    <row r="5" spans="1:18" ht="12.75" customHeight="1" x14ac:dyDescent="0.25">
      <c r="A5" s="1872" t="s">
        <v>2104</v>
      </c>
      <c r="B5" s="583"/>
      <c r="C5" s="1873" t="s">
        <v>2399</v>
      </c>
      <c r="D5" s="1873">
        <v>12530140</v>
      </c>
      <c r="E5" s="1873">
        <v>249271</v>
      </c>
      <c r="F5" s="1874">
        <v>3526748</v>
      </c>
      <c r="G5" s="1875"/>
      <c r="H5" s="1875"/>
      <c r="I5" s="1873"/>
      <c r="J5" s="1874"/>
      <c r="K5" s="1588"/>
      <c r="L5" s="1588"/>
      <c r="M5" s="1588"/>
      <c r="N5" s="1588"/>
      <c r="O5" s="1588"/>
      <c r="P5" s="1588"/>
      <c r="Q5" s="1588"/>
      <c r="R5" s="1588"/>
    </row>
    <row r="6" spans="1:18" ht="12.75" customHeight="1" x14ac:dyDescent="0.25">
      <c r="A6" s="1872" t="s">
        <v>2105</v>
      </c>
      <c r="B6" s="583"/>
      <c r="C6" s="1873" t="s">
        <v>2399</v>
      </c>
      <c r="D6" s="1873"/>
      <c r="E6" s="1873"/>
      <c r="F6" s="1874"/>
      <c r="G6" s="1875"/>
      <c r="H6" s="1875"/>
      <c r="I6" s="1873"/>
      <c r="J6" s="1874"/>
      <c r="K6" s="1588"/>
      <c r="L6" s="1588"/>
      <c r="M6" s="1588"/>
      <c r="N6" s="1588"/>
      <c r="O6" s="1588"/>
      <c r="P6" s="1588"/>
      <c r="Q6" s="1588"/>
      <c r="R6" s="1588"/>
    </row>
    <row r="7" spans="1:18" ht="12.75" customHeight="1" x14ac:dyDescent="0.25">
      <c r="A7" s="1872" t="s">
        <v>2106</v>
      </c>
      <c r="B7" s="583"/>
      <c r="C7" s="1873"/>
      <c r="D7" s="1873"/>
      <c r="E7" s="1873"/>
      <c r="F7" s="1874"/>
      <c r="G7" s="1875"/>
      <c r="H7" s="1875"/>
      <c r="I7" s="1873"/>
      <c r="J7" s="1874"/>
      <c r="K7" s="1588"/>
      <c r="L7" s="1588"/>
      <c r="M7" s="1588"/>
      <c r="N7" s="1588"/>
      <c r="O7" s="1588"/>
      <c r="P7" s="1588"/>
      <c r="Q7" s="1588"/>
      <c r="R7" s="1588"/>
    </row>
    <row r="8" spans="1:18" ht="12.75" customHeight="1" x14ac:dyDescent="0.25">
      <c r="A8" s="1872" t="s">
        <v>2107</v>
      </c>
      <c r="B8" s="583"/>
      <c r="C8" s="1873"/>
      <c r="D8" s="1873"/>
      <c r="E8" s="1873"/>
      <c r="F8" s="1874"/>
      <c r="G8" s="1875"/>
      <c r="H8" s="1875"/>
      <c r="I8" s="1873"/>
      <c r="J8" s="1874"/>
      <c r="K8" s="1588"/>
      <c r="L8" s="1588"/>
      <c r="M8" s="1588"/>
      <c r="N8" s="1588"/>
      <c r="O8" s="1588"/>
      <c r="P8" s="1588"/>
      <c r="Q8" s="1588"/>
      <c r="R8" s="1588"/>
    </row>
    <row r="9" spans="1:18" ht="12.75" customHeight="1" x14ac:dyDescent="0.25">
      <c r="A9" s="1872" t="s">
        <v>2108</v>
      </c>
      <c r="B9" s="583"/>
      <c r="C9" s="1873" t="s">
        <v>2400</v>
      </c>
      <c r="D9" s="1873">
        <v>857481</v>
      </c>
      <c r="E9" s="1873">
        <v>2794864</v>
      </c>
      <c r="F9" s="1874">
        <v>664528</v>
      </c>
      <c r="G9" s="1875"/>
      <c r="H9" s="1875"/>
      <c r="I9" s="1873"/>
      <c r="J9" s="1874"/>
      <c r="K9" s="1588"/>
      <c r="L9" s="1588"/>
      <c r="M9" s="1588"/>
      <c r="N9" s="1588"/>
      <c r="O9" s="1588"/>
      <c r="P9" s="1588"/>
      <c r="Q9" s="1588"/>
      <c r="R9" s="1588"/>
    </row>
    <row r="10" spans="1:18" ht="12.75" customHeight="1" x14ac:dyDescent="0.25">
      <c r="A10" s="1872" t="s">
        <v>2109</v>
      </c>
      <c r="B10" s="583"/>
      <c r="C10" s="1873"/>
      <c r="D10" s="1873"/>
      <c r="E10" s="1873"/>
      <c r="F10" s="1874"/>
      <c r="G10" s="1875"/>
      <c r="H10" s="1875"/>
      <c r="I10" s="1873"/>
      <c r="J10" s="1874"/>
      <c r="K10" s="1588"/>
      <c r="L10" s="1588"/>
      <c r="M10" s="1588"/>
      <c r="N10" s="1588"/>
      <c r="O10" s="1588"/>
      <c r="P10" s="1588"/>
      <c r="Q10" s="1588"/>
      <c r="R10" s="1588"/>
    </row>
    <row r="11" spans="1:18" ht="12.75" customHeight="1" x14ac:dyDescent="0.25">
      <c r="A11" s="1872" t="s">
        <v>2110</v>
      </c>
      <c r="B11" s="583"/>
      <c r="C11" s="1873"/>
      <c r="D11" s="1873"/>
      <c r="E11" s="1873"/>
      <c r="F11" s="1874"/>
      <c r="G11" s="1875"/>
      <c r="H11" s="1875"/>
      <c r="I11" s="1873"/>
      <c r="J11" s="1874"/>
      <c r="K11" s="1588"/>
      <c r="L11" s="1588"/>
      <c r="M11" s="1588"/>
      <c r="N11" s="1588"/>
      <c r="O11" s="1588"/>
      <c r="P11" s="1588"/>
      <c r="Q11" s="1588"/>
      <c r="R11" s="1588"/>
    </row>
    <row r="12" spans="1:18" ht="12.75" customHeight="1" x14ac:dyDescent="0.25">
      <c r="A12" s="1872" t="s">
        <v>2111</v>
      </c>
      <c r="B12" s="583"/>
      <c r="C12" s="1873" t="s">
        <v>2401</v>
      </c>
      <c r="D12" s="1873">
        <v>252807</v>
      </c>
      <c r="E12" s="1873">
        <v>77166</v>
      </c>
      <c r="F12" s="1874">
        <v>86698</v>
      </c>
      <c r="G12" s="1875"/>
      <c r="H12" s="1875"/>
      <c r="I12" s="1873"/>
      <c r="J12" s="1874"/>
      <c r="K12" s="1588"/>
      <c r="L12" s="1588"/>
      <c r="M12" s="1588"/>
      <c r="N12" s="1588"/>
      <c r="O12" s="1588"/>
      <c r="P12" s="1588"/>
      <c r="Q12" s="1588"/>
      <c r="R12" s="1588"/>
    </row>
    <row r="13" spans="1:18" ht="12.75" customHeight="1" x14ac:dyDescent="0.25">
      <c r="A13" s="1872" t="s">
        <v>2112</v>
      </c>
      <c r="B13" s="583"/>
      <c r="C13" s="1873"/>
      <c r="D13" s="1873"/>
      <c r="E13" s="1873"/>
      <c r="F13" s="1874"/>
      <c r="G13" s="1875"/>
      <c r="H13" s="1875"/>
      <c r="I13" s="1873"/>
      <c r="J13" s="1874"/>
      <c r="K13" s="1588"/>
      <c r="L13" s="1588"/>
      <c r="M13" s="1588"/>
      <c r="N13" s="1588"/>
      <c r="O13" s="1588"/>
      <c r="P13" s="1588"/>
      <c r="Q13" s="1588"/>
      <c r="R13" s="1588"/>
    </row>
    <row r="14" spans="1:18" ht="12.75" customHeight="1" x14ac:dyDescent="0.25">
      <c r="A14" s="1872" t="s">
        <v>2113</v>
      </c>
      <c r="B14" s="583"/>
      <c r="C14" s="1873"/>
      <c r="D14" s="1873"/>
      <c r="E14" s="1873"/>
      <c r="F14" s="1874"/>
      <c r="G14" s="1875"/>
      <c r="H14" s="1875"/>
      <c r="I14" s="1873"/>
      <c r="J14" s="1874"/>
      <c r="K14" s="1588"/>
      <c r="L14" s="1588"/>
      <c r="M14" s="1588"/>
      <c r="N14" s="1588"/>
      <c r="O14" s="1588"/>
      <c r="P14" s="1588"/>
      <c r="Q14" s="1588"/>
      <c r="R14" s="1588"/>
    </row>
    <row r="15" spans="1:18" ht="12.75" customHeight="1" x14ac:dyDescent="0.25">
      <c r="A15" s="1872" t="s">
        <v>2114</v>
      </c>
      <c r="B15" s="583"/>
      <c r="C15" s="1873"/>
      <c r="D15" s="1873"/>
      <c r="E15" s="1873"/>
      <c r="F15" s="1874"/>
      <c r="G15" s="1875"/>
      <c r="H15" s="1875"/>
      <c r="I15" s="1873"/>
      <c r="J15" s="1874"/>
      <c r="K15" s="1588"/>
      <c r="L15" s="1588"/>
      <c r="M15" s="1588"/>
      <c r="N15" s="1588"/>
      <c r="O15" s="1588"/>
      <c r="P15" s="1588"/>
      <c r="Q15" s="1588"/>
      <c r="R15" s="1588"/>
    </row>
    <row r="16" spans="1:18" ht="12.75" customHeight="1" x14ac:dyDescent="0.25">
      <c r="A16" s="1872" t="s">
        <v>2115</v>
      </c>
      <c r="B16" s="583"/>
      <c r="C16" s="1873"/>
      <c r="D16" s="1873"/>
      <c r="E16" s="1873"/>
      <c r="F16" s="1874"/>
      <c r="G16" s="1875"/>
      <c r="H16" s="1875"/>
      <c r="I16" s="1873"/>
      <c r="J16" s="1874"/>
      <c r="K16" s="1776"/>
      <c r="L16" s="1776"/>
      <c r="M16" s="1776"/>
      <c r="N16" s="1776"/>
      <c r="O16" s="1776"/>
      <c r="P16" s="1776"/>
      <c r="Q16" s="1776"/>
      <c r="R16" s="1776"/>
    </row>
    <row r="17" spans="1:18" ht="12.75" customHeight="1" x14ac:dyDescent="0.25">
      <c r="A17" s="1872" t="s">
        <v>2116</v>
      </c>
      <c r="B17" s="583"/>
      <c r="C17" s="1873"/>
      <c r="D17" s="1873"/>
      <c r="E17" s="1873"/>
      <c r="F17" s="1874"/>
      <c r="G17" s="1875"/>
      <c r="H17" s="1875"/>
      <c r="I17" s="1873"/>
      <c r="J17" s="1874"/>
      <c r="K17" s="1778"/>
      <c r="L17" s="1778"/>
      <c r="M17" s="1778"/>
      <c r="N17" s="1778"/>
      <c r="O17" s="1778"/>
      <c r="P17" s="1778"/>
      <c r="Q17" s="1778"/>
      <c r="R17" s="1778"/>
    </row>
    <row r="18" spans="1:18" ht="12.75" customHeight="1" x14ac:dyDescent="0.25">
      <c r="A18" s="1872" t="s">
        <v>2117</v>
      </c>
      <c r="B18" s="583"/>
      <c r="C18" s="1873" t="s">
        <v>2402</v>
      </c>
      <c r="D18" s="1873">
        <v>37977</v>
      </c>
      <c r="E18" s="1873">
        <v>86182</v>
      </c>
      <c r="F18" s="1874">
        <v>412910</v>
      </c>
      <c r="G18" s="1875"/>
      <c r="H18" s="1875"/>
      <c r="I18" s="1873"/>
      <c r="J18" s="1874"/>
      <c r="K18" s="1779"/>
      <c r="L18" s="1779"/>
      <c r="M18" s="1779"/>
      <c r="N18" s="1779"/>
      <c r="O18" s="1779"/>
      <c r="P18" s="1779"/>
      <c r="Q18" s="1779"/>
      <c r="R18" s="1779"/>
    </row>
    <row r="19" spans="1:18" ht="12.75" customHeight="1" x14ac:dyDescent="0.25">
      <c r="A19" s="1872" t="s">
        <v>2118</v>
      </c>
      <c r="B19" s="583"/>
      <c r="C19" s="1873" t="s">
        <v>2403</v>
      </c>
      <c r="D19" s="1873">
        <v>3369248</v>
      </c>
      <c r="E19" s="1873">
        <v>1028428</v>
      </c>
      <c r="F19" s="1874">
        <v>1155464</v>
      </c>
      <c r="G19" s="1875"/>
      <c r="H19" s="1875"/>
      <c r="I19" s="1873"/>
      <c r="J19" s="1874"/>
      <c r="K19" s="1778"/>
      <c r="L19" s="1778"/>
      <c r="M19" s="1778"/>
      <c r="N19" s="1778"/>
      <c r="O19" s="1778"/>
      <c r="P19" s="1778"/>
      <c r="Q19" s="1778"/>
      <c r="R19" s="1778"/>
    </row>
    <row r="20" spans="1:18" ht="12.75" customHeight="1" x14ac:dyDescent="0.25">
      <c r="A20" s="1872" t="s">
        <v>2119</v>
      </c>
      <c r="B20" s="583"/>
      <c r="C20" s="1873"/>
      <c r="D20" s="1873"/>
      <c r="E20" s="1873"/>
      <c r="F20" s="1874"/>
      <c r="G20" s="1875"/>
      <c r="H20" s="1875"/>
      <c r="I20" s="1873"/>
      <c r="J20" s="1874"/>
      <c r="K20" s="1778"/>
      <c r="L20" s="1778"/>
      <c r="M20" s="1778"/>
      <c r="N20" s="1778"/>
      <c r="O20" s="1778"/>
      <c r="P20" s="1778"/>
      <c r="Q20" s="1778"/>
      <c r="R20" s="1778"/>
    </row>
    <row r="21" spans="1:18" ht="12.75" customHeight="1" x14ac:dyDescent="0.25">
      <c r="A21" s="1872" t="s">
        <v>2120</v>
      </c>
      <c r="B21" s="583"/>
      <c r="C21" s="1873"/>
      <c r="D21" s="1873"/>
      <c r="E21" s="1873"/>
      <c r="F21" s="1874"/>
      <c r="G21" s="1875"/>
      <c r="H21" s="1875"/>
      <c r="I21" s="1873"/>
      <c r="J21" s="1874"/>
      <c r="K21" s="1778"/>
      <c r="L21" s="1778"/>
      <c r="M21" s="1778"/>
      <c r="N21" s="1778"/>
      <c r="O21" s="1778"/>
      <c r="P21" s="1778"/>
      <c r="Q21" s="1778"/>
      <c r="R21" s="1778"/>
    </row>
    <row r="22" spans="1:18" ht="12.75" customHeight="1" x14ac:dyDescent="0.25">
      <c r="A22" s="1872" t="s">
        <v>417</v>
      </c>
      <c r="B22" s="583"/>
      <c r="C22" s="1873"/>
      <c r="D22" s="1873"/>
      <c r="E22" s="1873"/>
      <c r="F22" s="1874"/>
      <c r="G22" s="1875"/>
      <c r="H22" s="1875"/>
      <c r="I22" s="1873"/>
      <c r="J22" s="1874"/>
      <c r="K22" s="1778"/>
      <c r="L22" s="1778"/>
      <c r="M22" s="1778"/>
      <c r="N22" s="1778"/>
      <c r="O22" s="1778"/>
      <c r="P22" s="1778"/>
      <c r="Q22" s="1778"/>
      <c r="R22" s="1778"/>
    </row>
    <row r="23" spans="1:18" ht="12.75" customHeight="1" x14ac:dyDescent="0.25">
      <c r="A23" s="1872" t="s">
        <v>2121</v>
      </c>
      <c r="B23" s="583"/>
      <c r="C23" s="1873"/>
      <c r="D23" s="1873"/>
      <c r="E23" s="1873"/>
      <c r="F23" s="1874"/>
      <c r="G23" s="1875"/>
      <c r="H23" s="1875"/>
      <c r="I23" s="1873"/>
      <c r="J23" s="1874"/>
      <c r="K23" s="1778"/>
      <c r="L23" s="1778"/>
      <c r="M23" s="1778"/>
      <c r="N23" s="1778"/>
      <c r="O23" s="1778"/>
      <c r="P23" s="1778"/>
      <c r="Q23" s="1778"/>
      <c r="R23" s="1778"/>
    </row>
    <row r="24" spans="1:18" ht="12.75" customHeight="1" x14ac:dyDescent="0.25">
      <c r="A24" s="1872" t="s">
        <v>2122</v>
      </c>
      <c r="B24" s="583"/>
      <c r="C24" s="1873"/>
      <c r="D24" s="1873"/>
      <c r="E24" s="1873"/>
      <c r="F24" s="1874"/>
      <c r="G24" s="1875"/>
      <c r="H24" s="1875"/>
      <c r="I24" s="1873"/>
      <c r="J24" s="1874"/>
      <c r="K24" s="1778"/>
      <c r="L24" s="1778"/>
      <c r="M24" s="1778"/>
      <c r="N24" s="1778"/>
      <c r="O24" s="1778"/>
      <c r="P24" s="1778"/>
      <c r="Q24" s="1778"/>
      <c r="R24" s="1778"/>
    </row>
    <row r="25" spans="1:18" ht="12.75" customHeight="1" x14ac:dyDescent="0.25">
      <c r="A25" s="1872" t="s">
        <v>2123</v>
      </c>
      <c r="B25" s="1915"/>
      <c r="C25" s="1873"/>
      <c r="D25" s="1873"/>
      <c r="E25" s="1873"/>
      <c r="F25" s="1874"/>
      <c r="G25" s="1875"/>
      <c r="H25" s="1875"/>
      <c r="I25" s="1873"/>
      <c r="J25" s="1874"/>
      <c r="K25" s="519"/>
      <c r="L25" s="519"/>
      <c r="M25" s="519"/>
      <c r="N25" s="519"/>
      <c r="O25" s="519"/>
      <c r="P25" s="519"/>
      <c r="Q25" s="519"/>
      <c r="R25" s="519"/>
    </row>
    <row r="26" spans="1:18" ht="5.0999999999999996" customHeight="1" x14ac:dyDescent="0.25">
      <c r="A26" s="1872"/>
      <c r="B26" s="1915"/>
      <c r="C26" s="1873"/>
      <c r="D26" s="1873"/>
      <c r="E26" s="1873"/>
      <c r="F26" s="1874"/>
      <c r="G26" s="1875"/>
      <c r="H26" s="1875"/>
      <c r="I26" s="1873"/>
      <c r="J26" s="1874"/>
      <c r="K26" s="519"/>
      <c r="L26" s="519"/>
      <c r="M26" s="519"/>
      <c r="N26" s="519"/>
      <c r="O26" s="519"/>
      <c r="P26" s="519"/>
      <c r="Q26" s="519"/>
      <c r="R26" s="519"/>
    </row>
    <row r="27" spans="1:18" ht="12.75" customHeight="1" x14ac:dyDescent="0.25">
      <c r="A27" s="1876" t="s">
        <v>2124</v>
      </c>
      <c r="B27" s="1915"/>
      <c r="C27" s="1885"/>
      <c r="D27" s="1885"/>
      <c r="E27" s="1885"/>
      <c r="F27" s="1886"/>
      <c r="G27" s="1887"/>
      <c r="H27" s="1887"/>
      <c r="I27" s="1885"/>
      <c r="J27" s="1886"/>
      <c r="K27" s="1780"/>
      <c r="L27" s="1780"/>
      <c r="M27" s="1780"/>
      <c r="N27" s="1780"/>
      <c r="O27" s="1780"/>
      <c r="P27" s="1780"/>
      <c r="Q27" s="1780"/>
      <c r="R27" s="1780"/>
    </row>
    <row r="28" spans="1:18" ht="12.75" customHeight="1" x14ac:dyDescent="0.25">
      <c r="A28" s="1877" t="s">
        <v>2104</v>
      </c>
      <c r="B28" s="1915"/>
      <c r="C28" s="1885"/>
      <c r="D28" s="1885"/>
      <c r="E28" s="1885"/>
      <c r="F28" s="1886"/>
      <c r="G28" s="1887"/>
      <c r="H28" s="1887"/>
      <c r="I28" s="1885"/>
      <c r="J28" s="1886"/>
      <c r="K28" s="1780"/>
      <c r="L28" s="1780"/>
      <c r="M28" s="1780"/>
      <c r="N28" s="1780"/>
      <c r="O28" s="1780"/>
      <c r="P28" s="1780"/>
      <c r="Q28" s="1780"/>
      <c r="R28" s="1780"/>
    </row>
    <row r="29" spans="1:18" ht="12.75" customHeight="1" x14ac:dyDescent="0.25">
      <c r="A29" s="1872" t="s">
        <v>2163</v>
      </c>
      <c r="B29" s="583"/>
      <c r="C29" s="1885">
        <v>422984.24</v>
      </c>
      <c r="D29" s="1885">
        <v>15000</v>
      </c>
      <c r="E29" s="1885">
        <v>15000</v>
      </c>
      <c r="F29" s="1886">
        <v>15000</v>
      </c>
      <c r="G29" s="1887">
        <v>15000</v>
      </c>
      <c r="H29" s="1887">
        <v>15000</v>
      </c>
      <c r="I29" s="1885">
        <v>15000</v>
      </c>
      <c r="J29" s="1886">
        <v>15000</v>
      </c>
      <c r="K29" s="1780"/>
      <c r="L29" s="1780"/>
      <c r="M29" s="1780"/>
      <c r="N29" s="1780"/>
      <c r="O29" s="1780"/>
      <c r="P29" s="1780"/>
      <c r="Q29" s="1780"/>
      <c r="R29" s="1780"/>
    </row>
    <row r="30" spans="1:18" ht="12.75" customHeight="1" x14ac:dyDescent="0.25">
      <c r="A30" s="378" t="s">
        <v>2125</v>
      </c>
      <c r="B30" s="583"/>
      <c r="C30" s="1873"/>
      <c r="D30" s="1873"/>
      <c r="E30" s="1873"/>
      <c r="F30" s="1874"/>
      <c r="G30" s="1875"/>
      <c r="H30" s="1875"/>
      <c r="I30" s="1873"/>
      <c r="J30" s="1874"/>
      <c r="K30" s="1780"/>
      <c r="L30" s="1780"/>
      <c r="M30" s="1780"/>
      <c r="N30" s="1780"/>
      <c r="O30" s="1780"/>
      <c r="P30" s="1780"/>
      <c r="Q30" s="1780"/>
      <c r="R30" s="1780"/>
    </row>
    <row r="31" spans="1:18" ht="12.75" customHeight="1" x14ac:dyDescent="0.25">
      <c r="A31" s="332" t="s">
        <v>2126</v>
      </c>
      <c r="B31" s="583"/>
      <c r="C31" s="1873"/>
      <c r="D31" s="1873"/>
      <c r="E31" s="1873"/>
      <c r="F31" s="1874"/>
      <c r="G31" s="1875"/>
      <c r="H31" s="1875"/>
      <c r="I31" s="1873"/>
      <c r="J31" s="1874"/>
      <c r="K31" s="1780"/>
      <c r="L31" s="1780"/>
      <c r="M31" s="1780"/>
      <c r="N31" s="1780"/>
      <c r="O31" s="1780"/>
      <c r="P31" s="1780"/>
      <c r="Q31" s="1780"/>
      <c r="R31" s="1780"/>
    </row>
    <row r="32" spans="1:18" ht="12.75" customHeight="1" x14ac:dyDescent="0.25">
      <c r="A32" s="332" t="s">
        <v>2127</v>
      </c>
      <c r="B32" s="583"/>
      <c r="C32" s="1873"/>
      <c r="D32" s="1873"/>
      <c r="E32" s="1873"/>
      <c r="F32" s="1874"/>
      <c r="G32" s="1875"/>
      <c r="H32" s="1875"/>
      <c r="I32" s="1873"/>
      <c r="J32" s="1874"/>
      <c r="K32" s="1780"/>
      <c r="L32" s="1780"/>
      <c r="M32" s="1780"/>
      <c r="N32" s="1780"/>
      <c r="O32" s="1780"/>
      <c r="P32" s="1780"/>
      <c r="Q32" s="1780"/>
      <c r="R32" s="1780"/>
    </row>
    <row r="33" spans="1:19" ht="12.75" customHeight="1" x14ac:dyDescent="0.25">
      <c r="A33" s="332" t="s">
        <v>2128</v>
      </c>
      <c r="B33" s="583"/>
      <c r="C33" s="1873"/>
      <c r="D33" s="1873"/>
      <c r="E33" s="1873"/>
      <c r="F33" s="1874"/>
      <c r="G33" s="1875"/>
      <c r="H33" s="1875"/>
      <c r="I33" s="1873"/>
      <c r="J33" s="1874"/>
      <c r="K33" s="1770"/>
      <c r="L33" s="1770"/>
      <c r="M33" s="1770"/>
      <c r="N33" s="1770"/>
      <c r="O33" s="1770"/>
      <c r="P33" s="1770"/>
      <c r="Q33" s="1770"/>
      <c r="R33" s="1770"/>
    </row>
    <row r="34" spans="1:19" ht="12.75" customHeight="1" x14ac:dyDescent="0.25">
      <c r="A34" s="332" t="s">
        <v>2129</v>
      </c>
      <c r="B34" s="583"/>
      <c r="C34" s="1873"/>
      <c r="D34" s="1873"/>
      <c r="E34" s="1873"/>
      <c r="F34" s="1874"/>
      <c r="G34" s="1875"/>
      <c r="H34" s="1875"/>
      <c r="I34" s="1873"/>
      <c r="J34" s="1874"/>
      <c r="K34" s="1781"/>
      <c r="L34" s="1781"/>
      <c r="M34" s="1781"/>
      <c r="N34" s="1781"/>
      <c r="O34" s="1781"/>
      <c r="P34" s="1781"/>
      <c r="Q34" s="1781"/>
      <c r="R34" s="1781"/>
    </row>
    <row r="35" spans="1:19" ht="12.75" customHeight="1" x14ac:dyDescent="0.25">
      <c r="A35" s="1878" t="s">
        <v>2130</v>
      </c>
      <c r="B35" s="583"/>
      <c r="C35" s="1873"/>
      <c r="D35" s="1873"/>
      <c r="E35" s="1873"/>
      <c r="F35" s="1874"/>
      <c r="G35" s="1875"/>
      <c r="H35" s="1875"/>
      <c r="I35" s="1873"/>
      <c r="J35" s="1874"/>
      <c r="K35" s="1781"/>
      <c r="L35" s="1781"/>
      <c r="M35" s="1781"/>
      <c r="N35" s="1781"/>
      <c r="O35" s="1781"/>
      <c r="P35" s="1781"/>
      <c r="Q35" s="1781"/>
      <c r="R35" s="1781"/>
    </row>
    <row r="36" spans="1:19" ht="12.75" customHeight="1" x14ac:dyDescent="0.25">
      <c r="A36" s="1879" t="s">
        <v>2131</v>
      </c>
      <c r="B36" s="583"/>
      <c r="C36" s="1873"/>
      <c r="D36" s="1873"/>
      <c r="E36" s="1873"/>
      <c r="F36" s="1874"/>
      <c r="G36" s="1875"/>
      <c r="H36" s="1875"/>
      <c r="I36" s="1873"/>
      <c r="J36" s="1874"/>
      <c r="K36" s="1781"/>
      <c r="L36" s="1781"/>
      <c r="M36" s="1781"/>
      <c r="N36" s="1781"/>
      <c r="O36" s="1781"/>
      <c r="P36" s="1781"/>
      <c r="Q36" s="1781"/>
      <c r="R36" s="1781"/>
    </row>
    <row r="37" spans="1:19" ht="5.0999999999999996" customHeight="1" x14ac:dyDescent="0.25">
      <c r="A37" s="1919"/>
      <c r="B37" s="1915"/>
      <c r="C37" s="1915"/>
      <c r="D37" s="1920"/>
      <c r="E37" s="1920"/>
      <c r="F37" s="1921"/>
      <c r="G37" s="1922"/>
      <c r="H37" s="1922"/>
      <c r="I37" s="1920"/>
      <c r="J37" s="1921"/>
      <c r="K37" s="1783"/>
      <c r="L37" s="1783"/>
      <c r="M37" s="1783"/>
      <c r="N37" s="1783"/>
      <c r="O37" s="1783"/>
      <c r="P37" s="1783"/>
      <c r="Q37" s="1783"/>
      <c r="R37" s="1783"/>
    </row>
    <row r="38" spans="1:19" ht="12.75" customHeight="1" x14ac:dyDescent="0.25">
      <c r="A38" s="461" t="s">
        <v>2132</v>
      </c>
      <c r="B38" s="1915"/>
      <c r="C38" s="1915"/>
      <c r="D38" s="1885"/>
      <c r="E38" s="1885"/>
      <c r="F38" s="1886"/>
      <c r="G38" s="1887"/>
      <c r="H38" s="1887"/>
      <c r="I38" s="1885"/>
      <c r="J38" s="1886"/>
      <c r="K38" s="1771"/>
      <c r="L38" s="1771"/>
      <c r="M38" s="1771"/>
      <c r="N38" s="1771"/>
      <c r="O38" s="1771"/>
      <c r="P38" s="1771"/>
      <c r="Q38" s="1771"/>
      <c r="R38" s="1771"/>
    </row>
    <row r="39" spans="1:19" ht="12.75" customHeight="1" x14ac:dyDescent="0.25">
      <c r="A39" s="1877" t="s">
        <v>2133</v>
      </c>
      <c r="B39" s="583"/>
      <c r="C39" s="1915"/>
      <c r="D39" s="1885"/>
      <c r="E39" s="1885"/>
      <c r="F39" s="1886"/>
      <c r="G39" s="1887"/>
      <c r="H39" s="1887"/>
      <c r="I39" s="1885"/>
      <c r="J39" s="1886"/>
      <c r="K39" s="1784"/>
      <c r="L39" s="1784"/>
      <c r="M39" s="1784"/>
      <c r="N39" s="1784"/>
      <c r="O39" s="1784"/>
      <c r="P39" s="1784"/>
      <c r="Q39" s="1784"/>
      <c r="R39" s="1784"/>
    </row>
    <row r="40" spans="1:19" ht="12.75" customHeight="1" x14ac:dyDescent="0.25">
      <c r="A40" s="1872" t="s">
        <v>2134</v>
      </c>
      <c r="B40" s="583"/>
      <c r="C40" s="1873"/>
      <c r="D40" s="1873"/>
      <c r="E40" s="1873"/>
      <c r="F40" s="1874"/>
      <c r="G40" s="1875"/>
      <c r="H40" s="1875"/>
      <c r="I40" s="1873"/>
      <c r="J40" s="1874"/>
      <c r="K40" s="1067"/>
      <c r="L40" s="1067"/>
      <c r="M40" s="1067"/>
      <c r="N40" s="1067"/>
      <c r="O40" s="1067"/>
      <c r="P40" s="1067"/>
      <c r="Q40" s="1067"/>
      <c r="R40" s="1067"/>
      <c r="S40" s="208">
        <f>SUM(C40:R40)</f>
        <v>0</v>
      </c>
    </row>
    <row r="41" spans="1:19" ht="12.75" customHeight="1" x14ac:dyDescent="0.25">
      <c r="A41" s="1872" t="s">
        <v>2135</v>
      </c>
      <c r="B41" s="583"/>
      <c r="C41" s="1873"/>
      <c r="D41" s="1873"/>
      <c r="E41" s="1873"/>
      <c r="F41" s="1874"/>
      <c r="G41" s="1875"/>
      <c r="H41" s="1875"/>
      <c r="I41" s="1873"/>
      <c r="J41" s="1874"/>
      <c r="K41" s="1067"/>
      <c r="L41" s="1067"/>
      <c r="M41" s="1067"/>
      <c r="N41" s="1067"/>
      <c r="O41" s="1067"/>
      <c r="P41" s="1067"/>
      <c r="Q41" s="1067"/>
      <c r="R41" s="1067"/>
      <c r="S41" s="208">
        <f>SUM(C41:R41)</f>
        <v>0</v>
      </c>
    </row>
    <row r="42" spans="1:19" ht="12.75" customHeight="1" x14ac:dyDescent="0.25">
      <c r="A42" s="1872" t="s">
        <v>2136</v>
      </c>
      <c r="B42" s="583"/>
      <c r="C42" s="1873"/>
      <c r="D42" s="1873"/>
      <c r="E42" s="1873"/>
      <c r="F42" s="1874"/>
      <c r="G42" s="1875"/>
      <c r="H42" s="1875"/>
      <c r="I42" s="1873"/>
      <c r="J42" s="1874"/>
      <c r="K42" s="1785"/>
      <c r="L42" s="1785"/>
      <c r="M42" s="1785"/>
      <c r="N42" s="1785"/>
      <c r="O42" s="1785"/>
      <c r="P42" s="1785"/>
      <c r="Q42" s="1785"/>
      <c r="R42" s="1785"/>
    </row>
    <row r="43" spans="1:19" ht="12.75" customHeight="1" x14ac:dyDescent="0.25">
      <c r="A43" s="1879" t="s">
        <v>2137</v>
      </c>
      <c r="B43" s="583"/>
      <c r="C43" s="1873" t="s">
        <v>2138</v>
      </c>
      <c r="D43" s="1873"/>
      <c r="E43" s="1873"/>
      <c r="F43" s="1874"/>
      <c r="G43" s="1875"/>
      <c r="H43" s="1875"/>
      <c r="I43" s="1873"/>
      <c r="J43" s="1874"/>
      <c r="K43" s="1786"/>
      <c r="L43" s="1786"/>
      <c r="M43" s="1786"/>
      <c r="N43" s="1786"/>
      <c r="O43" s="1786"/>
      <c r="P43" s="1786"/>
      <c r="Q43" s="1786"/>
      <c r="R43" s="1786"/>
    </row>
    <row r="44" spans="1:19" ht="12.75" customHeight="1" x14ac:dyDescent="0.25">
      <c r="A44" s="1879" t="s">
        <v>2139</v>
      </c>
      <c r="B44" s="583"/>
      <c r="C44" s="1873" t="s">
        <v>2140</v>
      </c>
      <c r="D44" s="1873"/>
      <c r="E44" s="1873"/>
      <c r="F44" s="1874"/>
      <c r="G44" s="1875"/>
      <c r="H44" s="1875"/>
      <c r="I44" s="1873"/>
      <c r="J44" s="1874"/>
      <c r="K44" s="1786"/>
      <c r="L44" s="1786"/>
      <c r="M44" s="1786"/>
      <c r="N44" s="1786"/>
      <c r="O44" s="1786"/>
      <c r="P44" s="1786"/>
      <c r="Q44" s="1786"/>
      <c r="R44" s="1786"/>
    </row>
    <row r="45" spans="1:19" ht="12.75" customHeight="1" x14ac:dyDescent="0.25">
      <c r="A45" s="1879" t="s">
        <v>2141</v>
      </c>
      <c r="B45" s="583"/>
      <c r="C45" s="1873" t="s">
        <v>2140</v>
      </c>
      <c r="D45" s="1873"/>
      <c r="E45" s="1873"/>
      <c r="F45" s="1874"/>
      <c r="G45" s="1875"/>
      <c r="H45" s="1875"/>
      <c r="I45" s="1873"/>
      <c r="J45" s="1874"/>
      <c r="K45" s="1786"/>
      <c r="L45" s="1786"/>
      <c r="M45" s="1786"/>
      <c r="N45" s="1786"/>
      <c r="O45" s="1786"/>
      <c r="P45" s="1786"/>
      <c r="Q45" s="1786"/>
      <c r="R45" s="1786"/>
    </row>
    <row r="46" spans="1:19" ht="12.75" customHeight="1" x14ac:dyDescent="0.25">
      <c r="A46" s="1879" t="s">
        <v>2142</v>
      </c>
      <c r="B46" s="583"/>
      <c r="C46" s="1873" t="s">
        <v>2140</v>
      </c>
      <c r="D46" s="1873"/>
      <c r="E46" s="1873"/>
      <c r="F46" s="1874"/>
      <c r="G46" s="1875"/>
      <c r="H46" s="1875"/>
      <c r="I46" s="1873"/>
      <c r="J46" s="1874"/>
      <c r="K46" s="1786"/>
      <c r="L46" s="1786"/>
      <c r="M46" s="1786"/>
      <c r="N46" s="1786"/>
      <c r="O46" s="1786"/>
      <c r="P46" s="1786"/>
      <c r="Q46" s="1786"/>
      <c r="R46" s="1786"/>
    </row>
    <row r="47" spans="1:19" ht="12.75" customHeight="1" x14ac:dyDescent="0.25">
      <c r="A47" s="1879" t="s">
        <v>2143</v>
      </c>
      <c r="B47" s="583"/>
      <c r="C47" s="1873" t="s">
        <v>2140</v>
      </c>
      <c r="D47" s="1873"/>
      <c r="E47" s="1873"/>
      <c r="F47" s="1874"/>
      <c r="G47" s="1875"/>
      <c r="H47" s="1875"/>
      <c r="I47" s="1873"/>
      <c r="J47" s="1874"/>
      <c r="K47" s="1786"/>
      <c r="L47" s="1786"/>
      <c r="M47" s="1786"/>
      <c r="N47" s="1786"/>
      <c r="O47" s="1786"/>
      <c r="P47" s="1786"/>
      <c r="Q47" s="1786"/>
      <c r="R47" s="1786"/>
    </row>
    <row r="48" spans="1:19" ht="12.75" customHeight="1" x14ac:dyDescent="0.25">
      <c r="A48" s="1879" t="s">
        <v>2144</v>
      </c>
      <c r="B48" s="583"/>
      <c r="C48" s="1873"/>
      <c r="D48" s="1873"/>
      <c r="E48" s="1873"/>
      <c r="F48" s="1874"/>
      <c r="G48" s="1875"/>
      <c r="H48" s="1875"/>
      <c r="I48" s="1873"/>
      <c r="J48" s="1874"/>
      <c r="K48" s="1786"/>
      <c r="L48" s="1786"/>
      <c r="M48" s="1786"/>
      <c r="N48" s="1786"/>
      <c r="O48" s="1786"/>
      <c r="P48" s="1786"/>
      <c r="Q48" s="1786"/>
      <c r="R48" s="1786"/>
    </row>
    <row r="49" spans="1:18" ht="5.0999999999999996" customHeight="1" x14ac:dyDescent="0.25">
      <c r="A49" s="199"/>
      <c r="B49" s="583"/>
      <c r="C49" s="1915"/>
      <c r="D49" s="1885"/>
      <c r="E49" s="1885"/>
      <c r="F49" s="1886"/>
      <c r="G49" s="1887"/>
      <c r="H49" s="1887"/>
      <c r="I49" s="1885"/>
      <c r="J49" s="1886"/>
      <c r="K49" s="253"/>
      <c r="L49" s="253"/>
      <c r="M49" s="253"/>
      <c r="N49" s="253"/>
      <c r="O49" s="253"/>
      <c r="P49" s="253"/>
      <c r="Q49" s="253"/>
      <c r="R49" s="253"/>
    </row>
    <row r="50" spans="1:18" ht="12.75" customHeight="1" x14ac:dyDescent="0.25">
      <c r="A50" s="461" t="s">
        <v>2145</v>
      </c>
      <c r="B50" s="583"/>
      <c r="C50" s="1915"/>
      <c r="D50" s="1885"/>
      <c r="E50" s="1885"/>
      <c r="F50" s="1886"/>
      <c r="G50" s="1887"/>
      <c r="H50" s="1887"/>
      <c r="I50" s="1885"/>
      <c r="J50" s="1886"/>
      <c r="K50" s="331"/>
      <c r="L50" s="331"/>
      <c r="M50" s="331"/>
      <c r="N50" s="331"/>
      <c r="O50" s="331"/>
      <c r="P50" s="331"/>
      <c r="Q50" s="331"/>
      <c r="R50" s="331"/>
    </row>
    <row r="51" spans="1:18" s="851" customFormat="1" ht="12.75" customHeight="1" x14ac:dyDescent="0.25">
      <c r="A51" s="1877" t="s">
        <v>2133</v>
      </c>
      <c r="B51" s="583"/>
      <c r="C51" s="1915"/>
      <c r="D51" s="1885"/>
      <c r="E51" s="1885"/>
      <c r="F51" s="1886"/>
      <c r="G51" s="1887"/>
      <c r="H51" s="1887"/>
      <c r="I51" s="1885"/>
      <c r="J51" s="1886"/>
      <c r="K51" s="839"/>
      <c r="L51" s="839"/>
      <c r="M51" s="839"/>
      <c r="N51" s="839"/>
      <c r="O51" s="839"/>
      <c r="P51" s="839"/>
      <c r="Q51" s="839"/>
      <c r="R51" s="839"/>
    </row>
    <row r="52" spans="1:18" s="851" customFormat="1" ht="12.75" customHeight="1" x14ac:dyDescent="0.25">
      <c r="A52" s="1872" t="s">
        <v>2134</v>
      </c>
      <c r="B52" s="583"/>
      <c r="C52" s="1873"/>
      <c r="D52" s="1873"/>
      <c r="E52" s="1873"/>
      <c r="F52" s="1874"/>
      <c r="G52" s="1875"/>
      <c r="H52" s="1875"/>
      <c r="I52" s="1873"/>
      <c r="J52" s="1874"/>
      <c r="K52" s="839"/>
      <c r="L52" s="839"/>
      <c r="M52" s="839"/>
      <c r="N52" s="839"/>
      <c r="O52" s="839"/>
      <c r="P52" s="839"/>
      <c r="Q52" s="839"/>
      <c r="R52" s="839"/>
    </row>
    <row r="53" spans="1:18" s="851" customFormat="1" ht="12.75" customHeight="1" x14ac:dyDescent="0.25">
      <c r="A53" s="1872" t="s">
        <v>2135</v>
      </c>
      <c r="B53" s="583"/>
      <c r="C53" s="1873"/>
      <c r="D53" s="1873"/>
      <c r="E53" s="1873"/>
      <c r="F53" s="1874"/>
      <c r="G53" s="1875"/>
      <c r="H53" s="1875"/>
      <c r="I53" s="1873"/>
      <c r="J53" s="1874"/>
      <c r="K53" s="839"/>
      <c r="L53" s="839"/>
      <c r="M53" s="839"/>
      <c r="N53" s="839"/>
      <c r="O53" s="839"/>
      <c r="P53" s="839"/>
      <c r="Q53" s="839"/>
      <c r="R53" s="839"/>
    </row>
    <row r="54" spans="1:18" s="851" customFormat="1" ht="12.75" customHeight="1" x14ac:dyDescent="0.25">
      <c r="A54" s="1872" t="s">
        <v>2146</v>
      </c>
      <c r="B54" s="583"/>
      <c r="C54" s="1873"/>
      <c r="D54" s="1873"/>
      <c r="E54" s="1873"/>
      <c r="F54" s="1874"/>
      <c r="G54" s="1875"/>
      <c r="H54" s="1875"/>
      <c r="I54" s="1873"/>
      <c r="J54" s="1874"/>
      <c r="K54" s="839"/>
      <c r="L54" s="839"/>
      <c r="M54" s="839"/>
      <c r="N54" s="839"/>
      <c r="O54" s="839"/>
      <c r="P54" s="839"/>
      <c r="Q54" s="839"/>
      <c r="R54" s="839"/>
    </row>
    <row r="55" spans="1:18" s="851" customFormat="1" ht="12.75" customHeight="1" x14ac:dyDescent="0.25">
      <c r="A55" s="1879" t="s">
        <v>2147</v>
      </c>
      <c r="B55" s="583"/>
      <c r="C55" s="1873" t="s">
        <v>2148</v>
      </c>
      <c r="D55" s="1873"/>
      <c r="E55" s="1873"/>
      <c r="F55" s="1874"/>
      <c r="G55" s="1875"/>
      <c r="H55" s="1875"/>
      <c r="I55" s="1873"/>
      <c r="J55" s="1874"/>
      <c r="K55" s="839"/>
      <c r="L55" s="839"/>
      <c r="M55" s="839"/>
      <c r="N55" s="839"/>
      <c r="O55" s="839"/>
      <c r="P55" s="839"/>
      <c r="Q55" s="839"/>
      <c r="R55" s="839"/>
    </row>
    <row r="56" spans="1:18" s="851" customFormat="1" ht="12.75" customHeight="1" x14ac:dyDescent="0.25">
      <c r="A56" s="1879" t="s">
        <v>2149</v>
      </c>
      <c r="B56" s="583"/>
      <c r="C56" s="1873" t="s">
        <v>2148</v>
      </c>
      <c r="D56" s="1873"/>
      <c r="E56" s="1873"/>
      <c r="F56" s="1874"/>
      <c r="G56" s="1875"/>
      <c r="H56" s="1875"/>
      <c r="I56" s="1873"/>
      <c r="J56" s="1874"/>
      <c r="K56" s="839"/>
      <c r="L56" s="839"/>
      <c r="M56" s="839"/>
      <c r="N56" s="839"/>
      <c r="O56" s="839"/>
      <c r="P56" s="839"/>
      <c r="Q56" s="839"/>
      <c r="R56" s="839"/>
    </row>
    <row r="57" spans="1:18" s="851" customFormat="1" ht="12.75" customHeight="1" x14ac:dyDescent="0.25">
      <c r="A57" s="1879" t="s">
        <v>2150</v>
      </c>
      <c r="B57" s="583"/>
      <c r="C57" s="1873" t="s">
        <v>2148</v>
      </c>
      <c r="D57" s="1873"/>
      <c r="E57" s="1873"/>
      <c r="F57" s="1874"/>
      <c r="G57" s="1875"/>
      <c r="H57" s="1875"/>
      <c r="I57" s="1873"/>
      <c r="J57" s="1874"/>
      <c r="K57" s="839"/>
      <c r="L57" s="839"/>
      <c r="M57" s="839"/>
      <c r="N57" s="839"/>
      <c r="O57" s="839"/>
      <c r="P57" s="839"/>
      <c r="Q57" s="839"/>
      <c r="R57" s="839"/>
    </row>
    <row r="58" spans="1:18" ht="12.75" customHeight="1" x14ac:dyDescent="0.25">
      <c r="A58" s="1879" t="s">
        <v>2151</v>
      </c>
      <c r="B58" s="583"/>
      <c r="C58" s="1873" t="s">
        <v>2148</v>
      </c>
      <c r="D58" s="1873"/>
      <c r="E58" s="1873"/>
      <c r="F58" s="1874"/>
      <c r="G58" s="1875"/>
      <c r="H58" s="1875"/>
      <c r="I58" s="1873"/>
      <c r="J58" s="1874"/>
      <c r="K58" s="748"/>
      <c r="L58" s="748"/>
      <c r="M58" s="748"/>
      <c r="N58" s="748"/>
      <c r="O58" s="748"/>
      <c r="P58" s="748"/>
      <c r="Q58" s="748"/>
      <c r="R58" s="748"/>
    </row>
    <row r="59" spans="1:18" ht="12.75" customHeight="1" x14ac:dyDescent="0.25">
      <c r="A59" s="1879" t="s">
        <v>2144</v>
      </c>
      <c r="B59" s="583"/>
      <c r="C59" s="1873"/>
      <c r="D59" s="1873"/>
      <c r="E59" s="1873"/>
      <c r="F59" s="1874"/>
      <c r="G59" s="1875"/>
      <c r="H59" s="1875"/>
      <c r="I59" s="1873"/>
      <c r="J59" s="1874"/>
      <c r="K59" s="1767"/>
      <c r="L59" s="1767"/>
      <c r="M59" s="1767"/>
      <c r="N59" s="1767"/>
      <c r="O59" s="1767"/>
      <c r="P59" s="1767"/>
      <c r="Q59" s="1767"/>
      <c r="R59" s="1767"/>
    </row>
    <row r="60" spans="1:18" ht="5.0999999999999996" customHeight="1" x14ac:dyDescent="0.25">
      <c r="A60" s="1923"/>
      <c r="B60" s="1915"/>
      <c r="C60" s="1915"/>
      <c r="D60" s="1885"/>
      <c r="E60" s="1885"/>
      <c r="F60" s="1886"/>
      <c r="G60" s="1887"/>
      <c r="H60" s="1887"/>
      <c r="I60" s="1885"/>
      <c r="J60" s="1886"/>
      <c r="K60" s="234"/>
      <c r="L60" s="234"/>
      <c r="M60" s="234"/>
      <c r="N60" s="234"/>
      <c r="O60" s="234"/>
      <c r="P60" s="234"/>
      <c r="Q60" s="234"/>
      <c r="R60" s="234"/>
    </row>
    <row r="61" spans="1:18" ht="12.75" customHeight="1" x14ac:dyDescent="0.25">
      <c r="A61" s="461" t="s">
        <v>2152</v>
      </c>
      <c r="B61" s="583"/>
      <c r="C61" s="1915"/>
      <c r="D61" s="1885"/>
      <c r="E61" s="1885"/>
      <c r="F61" s="1886"/>
      <c r="G61" s="1887"/>
      <c r="H61" s="1887"/>
      <c r="I61" s="1885"/>
      <c r="J61" s="1886"/>
      <c r="K61" s="234"/>
      <c r="L61" s="234"/>
      <c r="M61" s="234"/>
      <c r="N61" s="234"/>
      <c r="O61" s="234"/>
      <c r="P61" s="234"/>
      <c r="Q61" s="234"/>
      <c r="R61" s="234"/>
    </row>
    <row r="62" spans="1:18" ht="12.75" customHeight="1" x14ac:dyDescent="0.25">
      <c r="A62" s="1877" t="s">
        <v>2133</v>
      </c>
      <c r="B62" s="583"/>
      <c r="C62" s="1915"/>
      <c r="D62" s="1885"/>
      <c r="E62" s="1885"/>
      <c r="F62" s="1886"/>
      <c r="G62" s="1887"/>
      <c r="H62" s="1887"/>
      <c r="I62" s="1885"/>
      <c r="J62" s="1886"/>
      <c r="K62" s="1588"/>
      <c r="L62" s="1588"/>
      <c r="M62" s="1588"/>
      <c r="N62" s="1588"/>
      <c r="O62" s="1588"/>
      <c r="P62" s="1588"/>
      <c r="Q62" s="1588"/>
      <c r="R62" s="1588"/>
    </row>
    <row r="63" spans="1:18" ht="12.75" customHeight="1" x14ac:dyDescent="0.25">
      <c r="A63" s="1872" t="s">
        <v>2134</v>
      </c>
      <c r="B63" s="583"/>
      <c r="C63" s="1873"/>
      <c r="D63" s="1873"/>
      <c r="E63" s="1873"/>
      <c r="F63" s="1874"/>
      <c r="G63" s="1875"/>
      <c r="H63" s="1875"/>
      <c r="I63" s="1873"/>
      <c r="J63" s="1874"/>
      <c r="K63" s="1588"/>
      <c r="L63" s="1588"/>
      <c r="M63" s="1588"/>
      <c r="N63" s="1588"/>
      <c r="O63" s="1588"/>
      <c r="P63" s="1588"/>
      <c r="Q63" s="1588"/>
      <c r="R63" s="1588"/>
    </row>
    <row r="64" spans="1:18" ht="12.75" customHeight="1" x14ac:dyDescent="0.25">
      <c r="A64" s="1872" t="s">
        <v>2153</v>
      </c>
      <c r="B64" s="583"/>
      <c r="C64" s="1873"/>
      <c r="D64" s="1873"/>
      <c r="E64" s="1873"/>
      <c r="F64" s="1874"/>
      <c r="G64" s="1875"/>
      <c r="H64" s="1875"/>
      <c r="I64" s="1873"/>
      <c r="J64" s="1874"/>
      <c r="K64" s="1588"/>
      <c r="L64" s="1588"/>
      <c r="M64" s="1588"/>
      <c r="N64" s="1588"/>
      <c r="O64" s="1588"/>
      <c r="P64" s="1588"/>
      <c r="Q64" s="1588"/>
      <c r="R64" s="1588"/>
    </row>
    <row r="65" spans="1:18" ht="12.75" customHeight="1" x14ac:dyDescent="0.25">
      <c r="A65" s="1880" t="s">
        <v>2154</v>
      </c>
      <c r="B65" s="583"/>
      <c r="C65" s="1873" t="s">
        <v>2155</v>
      </c>
      <c r="D65" s="1873"/>
      <c r="E65" s="1873"/>
      <c r="F65" s="1874"/>
      <c r="G65" s="1875"/>
      <c r="H65" s="1875"/>
      <c r="I65" s="1873"/>
      <c r="J65" s="1874"/>
      <c r="K65" s="1588"/>
      <c r="L65" s="1588"/>
      <c r="M65" s="1588"/>
      <c r="N65" s="1588"/>
      <c r="O65" s="1588"/>
      <c r="P65" s="1588"/>
      <c r="Q65" s="1588"/>
      <c r="R65" s="1588"/>
    </row>
    <row r="66" spans="1:18" ht="12.75" customHeight="1" x14ac:dyDescent="0.25">
      <c r="A66" s="1879" t="s">
        <v>2176</v>
      </c>
      <c r="B66" s="583"/>
      <c r="C66" s="1873" t="s">
        <v>2138</v>
      </c>
      <c r="D66" s="1873"/>
      <c r="E66" s="1873"/>
      <c r="F66" s="1874"/>
      <c r="G66" s="1875"/>
      <c r="H66" s="1875"/>
      <c r="I66" s="1873"/>
      <c r="J66" s="1874"/>
      <c r="K66" s="1588"/>
      <c r="L66" s="1588"/>
      <c r="M66" s="1588"/>
      <c r="N66" s="1588"/>
      <c r="O66" s="1588"/>
      <c r="P66" s="1588"/>
      <c r="Q66" s="1588"/>
      <c r="R66" s="1588"/>
    </row>
    <row r="67" spans="1:18" ht="12.75" customHeight="1" x14ac:dyDescent="0.25">
      <c r="A67" s="1888" t="s">
        <v>2177</v>
      </c>
      <c r="B67" s="583"/>
      <c r="C67" s="1873" t="s">
        <v>2138</v>
      </c>
      <c r="D67" s="1873"/>
      <c r="E67" s="1873"/>
      <c r="F67" s="1874"/>
      <c r="G67" s="1875"/>
      <c r="H67" s="1875"/>
      <c r="I67" s="1873"/>
      <c r="J67" s="1874"/>
      <c r="K67" s="1588"/>
      <c r="L67" s="1588"/>
      <c r="M67" s="1588"/>
      <c r="N67" s="1588"/>
      <c r="O67" s="1588"/>
      <c r="P67" s="1588"/>
      <c r="Q67" s="1588"/>
      <c r="R67" s="1588"/>
    </row>
    <row r="68" spans="1:18" ht="12.75" customHeight="1" x14ac:dyDescent="0.25">
      <c r="A68" s="1872" t="s">
        <v>2178</v>
      </c>
      <c r="B68" s="583"/>
      <c r="C68" s="1873"/>
      <c r="D68" s="1873"/>
      <c r="E68" s="1873"/>
      <c r="F68" s="1874"/>
      <c r="G68" s="1875"/>
      <c r="H68" s="1875"/>
      <c r="I68" s="1873"/>
      <c r="J68" s="1874"/>
      <c r="K68" s="1588"/>
      <c r="L68" s="1588"/>
      <c r="M68" s="1588"/>
      <c r="N68" s="1588"/>
      <c r="O68" s="1588"/>
      <c r="P68" s="1588"/>
      <c r="Q68" s="1588"/>
      <c r="R68" s="1588"/>
    </row>
    <row r="69" spans="1:18" ht="12.75" customHeight="1" x14ac:dyDescent="0.25">
      <c r="A69" s="1872" t="s">
        <v>2179</v>
      </c>
      <c r="B69" s="583"/>
      <c r="C69" s="1873"/>
      <c r="D69" s="1873"/>
      <c r="E69" s="1873"/>
      <c r="F69" s="1874"/>
      <c r="G69" s="1875"/>
      <c r="H69" s="1875"/>
      <c r="I69" s="1873"/>
      <c r="J69" s="1874"/>
      <c r="K69" s="1588"/>
      <c r="L69" s="1588"/>
      <c r="M69" s="1588"/>
      <c r="N69" s="1588"/>
      <c r="O69" s="1588"/>
      <c r="P69" s="1588"/>
      <c r="Q69" s="1588"/>
      <c r="R69" s="1588"/>
    </row>
    <row r="70" spans="1:18" ht="12.75" customHeight="1" x14ac:dyDescent="0.25">
      <c r="A70" s="1888" t="s">
        <v>2180</v>
      </c>
      <c r="B70" s="583"/>
      <c r="C70" s="1873" t="s">
        <v>2156</v>
      </c>
      <c r="D70" s="1873"/>
      <c r="E70" s="1873"/>
      <c r="F70" s="1874"/>
      <c r="G70" s="1875"/>
      <c r="H70" s="1875"/>
      <c r="I70" s="1873"/>
      <c r="J70" s="1874"/>
      <c r="K70" s="1588"/>
      <c r="L70" s="1588"/>
      <c r="M70" s="1588"/>
      <c r="N70" s="1588"/>
      <c r="O70" s="1588"/>
      <c r="P70" s="1588"/>
      <c r="Q70" s="1588"/>
      <c r="R70" s="1588"/>
    </row>
    <row r="71" spans="1:18" ht="12.75" customHeight="1" x14ac:dyDescent="0.25">
      <c r="A71" s="1888" t="s">
        <v>2181</v>
      </c>
      <c r="B71" s="583"/>
      <c r="C71" s="1873" t="s">
        <v>2156</v>
      </c>
      <c r="D71" s="1873"/>
      <c r="E71" s="1873"/>
      <c r="F71" s="1874"/>
      <c r="G71" s="1875"/>
      <c r="H71" s="1875"/>
      <c r="I71" s="1873"/>
      <c r="J71" s="1874"/>
      <c r="K71" s="1588"/>
      <c r="L71" s="1588"/>
      <c r="M71" s="1588"/>
      <c r="N71" s="1588"/>
      <c r="O71" s="1588"/>
      <c r="P71" s="1588"/>
      <c r="Q71" s="1588"/>
      <c r="R71" s="1588"/>
    </row>
    <row r="72" spans="1:18" ht="12.75" customHeight="1" x14ac:dyDescent="0.25">
      <c r="A72" s="1888" t="s">
        <v>2182</v>
      </c>
      <c r="B72" s="583"/>
      <c r="C72" s="1873" t="s">
        <v>2156</v>
      </c>
      <c r="D72" s="1873"/>
      <c r="E72" s="1873"/>
      <c r="F72" s="1874"/>
      <c r="G72" s="1875"/>
      <c r="H72" s="1875"/>
      <c r="I72" s="1873"/>
      <c r="J72" s="1874"/>
      <c r="K72" s="1588"/>
      <c r="L72" s="1588"/>
      <c r="M72" s="1588"/>
      <c r="N72" s="1588"/>
      <c r="O72" s="1588"/>
      <c r="P72" s="1588"/>
      <c r="Q72" s="1588"/>
      <c r="R72" s="1588"/>
    </row>
    <row r="73" spans="1:18" ht="12.75" customHeight="1" x14ac:dyDescent="0.25">
      <c r="A73" s="1888" t="s">
        <v>2183</v>
      </c>
      <c r="B73" s="583"/>
      <c r="C73" s="1873" t="s">
        <v>2156</v>
      </c>
      <c r="D73" s="1873"/>
      <c r="E73" s="1873"/>
      <c r="F73" s="1874"/>
      <c r="G73" s="1875"/>
      <c r="H73" s="1875"/>
      <c r="I73" s="1873"/>
      <c r="J73" s="1874"/>
      <c r="K73" s="1588"/>
      <c r="L73" s="1588"/>
      <c r="M73" s="1588"/>
      <c r="N73" s="1588"/>
      <c r="O73" s="1588"/>
      <c r="P73" s="1588"/>
      <c r="Q73" s="1588"/>
      <c r="R73" s="1588"/>
    </row>
    <row r="74" spans="1:18" ht="12.75" customHeight="1" x14ac:dyDescent="0.25">
      <c r="A74" s="1888" t="s">
        <v>2184</v>
      </c>
      <c r="B74" s="583"/>
      <c r="C74" s="1873" t="s">
        <v>2156</v>
      </c>
      <c r="D74" s="1873"/>
      <c r="E74" s="1873"/>
      <c r="F74" s="1874"/>
      <c r="G74" s="1875"/>
      <c r="H74" s="1875"/>
      <c r="I74" s="1873"/>
      <c r="J74" s="1874"/>
      <c r="K74" s="1588"/>
      <c r="L74" s="1588"/>
      <c r="M74" s="1588"/>
      <c r="N74" s="1588"/>
      <c r="O74" s="1588"/>
      <c r="P74" s="1588"/>
      <c r="Q74" s="1588"/>
      <c r="R74" s="1588"/>
    </row>
    <row r="75" spans="1:18" ht="12.75" customHeight="1" x14ac:dyDescent="0.25">
      <c r="A75" s="1888" t="s">
        <v>2144</v>
      </c>
      <c r="B75" s="583"/>
      <c r="C75" s="1873" t="s">
        <v>2156</v>
      </c>
      <c r="D75" s="1873"/>
      <c r="E75" s="1873"/>
      <c r="F75" s="1874"/>
      <c r="G75" s="1875"/>
      <c r="H75" s="1875"/>
      <c r="I75" s="1873"/>
      <c r="J75" s="1874"/>
      <c r="K75" s="1588"/>
      <c r="L75" s="1588"/>
      <c r="M75" s="1588"/>
      <c r="N75" s="1588"/>
      <c r="O75" s="1588"/>
      <c r="P75" s="1588"/>
      <c r="Q75" s="1588"/>
      <c r="R75" s="1588"/>
    </row>
    <row r="76" spans="1:18" ht="12.75" customHeight="1" x14ac:dyDescent="0.25">
      <c r="A76" s="1888" t="s">
        <v>2185</v>
      </c>
      <c r="B76" s="583"/>
      <c r="C76" s="1873" t="s">
        <v>2156</v>
      </c>
      <c r="D76" s="1873"/>
      <c r="E76" s="1873"/>
      <c r="F76" s="1874"/>
      <c r="G76" s="1875"/>
      <c r="H76" s="1875"/>
      <c r="I76" s="1873"/>
      <c r="J76" s="1874"/>
      <c r="K76" s="1588"/>
      <c r="L76" s="1588"/>
      <c r="M76" s="1588"/>
      <c r="N76" s="1588"/>
      <c r="O76" s="1588"/>
      <c r="P76" s="1588"/>
      <c r="Q76" s="1588"/>
      <c r="R76" s="1588"/>
    </row>
    <row r="77" spans="1:18" ht="12.75" customHeight="1" x14ac:dyDescent="0.25">
      <c r="A77" s="1888" t="s">
        <v>2186</v>
      </c>
      <c r="B77" s="583"/>
      <c r="C77" s="1873" t="s">
        <v>2156</v>
      </c>
      <c r="D77" s="1873"/>
      <c r="E77" s="1873"/>
      <c r="F77" s="1874"/>
      <c r="G77" s="1875"/>
      <c r="H77" s="1875"/>
      <c r="I77" s="1873"/>
      <c r="J77" s="1874"/>
      <c r="K77" s="1588"/>
      <c r="L77" s="1588"/>
      <c r="M77" s="1588"/>
      <c r="N77" s="1588"/>
      <c r="O77" s="1588"/>
      <c r="P77" s="1588"/>
      <c r="Q77" s="1588"/>
      <c r="R77" s="1588"/>
    </row>
    <row r="78" spans="1:18" ht="12.75" customHeight="1" x14ac:dyDescent="0.25">
      <c r="A78" s="1888" t="s">
        <v>2187</v>
      </c>
      <c r="B78" s="583"/>
      <c r="C78" s="1873" t="s">
        <v>2156</v>
      </c>
      <c r="D78" s="1873"/>
      <c r="E78" s="1873"/>
      <c r="F78" s="1874"/>
      <c r="G78" s="1875"/>
      <c r="H78" s="1875"/>
      <c r="I78" s="1873"/>
      <c r="J78" s="1874"/>
      <c r="K78" s="1588"/>
      <c r="L78" s="1588"/>
      <c r="M78" s="1588"/>
      <c r="N78" s="1588"/>
      <c r="O78" s="1588"/>
      <c r="P78" s="1588"/>
      <c r="Q78" s="1588"/>
      <c r="R78" s="1588"/>
    </row>
    <row r="79" spans="1:18" ht="12.75" customHeight="1" x14ac:dyDescent="0.25">
      <c r="A79" s="1888" t="s">
        <v>2188</v>
      </c>
      <c r="B79" s="583"/>
      <c r="C79" s="1873" t="s">
        <v>2156</v>
      </c>
      <c r="D79" s="1873"/>
      <c r="E79" s="1873"/>
      <c r="F79" s="1874"/>
      <c r="G79" s="1875"/>
      <c r="H79" s="1875"/>
      <c r="I79" s="1873"/>
      <c r="J79" s="1874"/>
      <c r="K79" s="1588"/>
      <c r="L79" s="1588"/>
      <c r="M79" s="1588"/>
      <c r="N79" s="1588"/>
      <c r="O79" s="1588"/>
      <c r="P79" s="1588"/>
      <c r="Q79" s="1588"/>
      <c r="R79" s="1588"/>
    </row>
    <row r="80" spans="1:18" ht="12.75" customHeight="1" x14ac:dyDescent="0.25">
      <c r="A80" s="1888" t="s">
        <v>2189</v>
      </c>
      <c r="B80" s="583"/>
      <c r="C80" s="1873" t="s">
        <v>2156</v>
      </c>
      <c r="D80" s="1873"/>
      <c r="E80" s="1873"/>
      <c r="F80" s="1874"/>
      <c r="G80" s="1875"/>
      <c r="H80" s="1875"/>
      <c r="I80" s="1873"/>
      <c r="J80" s="1874"/>
      <c r="K80" s="1588"/>
      <c r="L80" s="1588"/>
      <c r="M80" s="1588"/>
      <c r="N80" s="1588"/>
      <c r="O80" s="1588"/>
      <c r="P80" s="1588"/>
      <c r="Q80" s="1588"/>
      <c r="R80" s="1588"/>
    </row>
    <row r="81" spans="1:18" ht="12.75" customHeight="1" x14ac:dyDescent="0.25">
      <c r="A81" s="1888" t="s">
        <v>2144</v>
      </c>
      <c r="B81" s="583"/>
      <c r="C81" s="1873" t="s">
        <v>2156</v>
      </c>
      <c r="D81" s="1873"/>
      <c r="E81" s="1873"/>
      <c r="F81" s="1874"/>
      <c r="G81" s="1875"/>
      <c r="H81" s="1875"/>
      <c r="I81" s="1873"/>
      <c r="J81" s="1874"/>
      <c r="K81" s="1776"/>
      <c r="L81" s="1776"/>
      <c r="M81" s="1776"/>
      <c r="N81" s="1776"/>
      <c r="O81" s="1776"/>
      <c r="P81" s="1776"/>
      <c r="Q81" s="1776"/>
      <c r="R81" s="1776"/>
    </row>
    <row r="82" spans="1:18" ht="5.0999999999999996" customHeight="1" x14ac:dyDescent="0.25">
      <c r="A82" s="1877"/>
      <c r="B82" s="583"/>
      <c r="C82" s="583"/>
      <c r="D82" s="1885"/>
      <c r="E82" s="1885"/>
      <c r="F82" s="1886"/>
      <c r="G82" s="1887"/>
      <c r="H82" s="1887"/>
      <c r="I82" s="1885"/>
      <c r="J82" s="1886"/>
      <c r="K82" s="1778"/>
      <c r="L82" s="1778"/>
      <c r="M82" s="1778"/>
      <c r="N82" s="1778"/>
      <c r="O82" s="1778"/>
      <c r="P82" s="1778"/>
      <c r="Q82" s="1778"/>
      <c r="R82" s="1778"/>
    </row>
    <row r="83" spans="1:18" ht="12.75" customHeight="1" x14ac:dyDescent="0.25">
      <c r="A83" s="461" t="s">
        <v>2157</v>
      </c>
      <c r="B83" s="583"/>
      <c r="C83" s="1915"/>
      <c r="D83" s="1885"/>
      <c r="E83" s="1885"/>
      <c r="F83" s="1886"/>
      <c r="G83" s="1887"/>
      <c r="H83" s="1887"/>
      <c r="I83" s="1885"/>
      <c r="J83" s="1886"/>
      <c r="K83" s="1779"/>
      <c r="L83" s="1779"/>
      <c r="M83" s="1779"/>
      <c r="N83" s="1779"/>
      <c r="O83" s="1779"/>
      <c r="P83" s="1779"/>
      <c r="Q83" s="1779"/>
      <c r="R83" s="1779"/>
    </row>
    <row r="84" spans="1:18" ht="12.75" customHeight="1" x14ac:dyDescent="0.25">
      <c r="A84" s="1877" t="s">
        <v>2133</v>
      </c>
      <c r="B84" s="583"/>
      <c r="C84" s="1915"/>
      <c r="D84" s="1885"/>
      <c r="E84" s="1885"/>
      <c r="F84" s="1886"/>
      <c r="G84" s="1887"/>
      <c r="H84" s="1887"/>
      <c r="I84" s="1885"/>
      <c r="J84" s="1886"/>
      <c r="K84" s="1778"/>
      <c r="L84" s="1778"/>
      <c r="M84" s="1778"/>
      <c r="N84" s="1778"/>
      <c r="O84" s="1778"/>
      <c r="P84" s="1778"/>
      <c r="Q84" s="1778"/>
      <c r="R84" s="1778"/>
    </row>
    <row r="85" spans="1:18" ht="12.75" customHeight="1" x14ac:dyDescent="0.25">
      <c r="A85" s="1872" t="s">
        <v>2158</v>
      </c>
      <c r="B85" s="583"/>
      <c r="C85" s="1873"/>
      <c r="D85" s="1873"/>
      <c r="E85" s="1873"/>
      <c r="F85" s="1874"/>
      <c r="G85" s="1875"/>
      <c r="H85" s="1875"/>
      <c r="I85" s="1873"/>
      <c r="J85" s="1874"/>
      <c r="K85" s="1778"/>
      <c r="L85" s="1778"/>
      <c r="M85" s="1778"/>
      <c r="N85" s="1778"/>
      <c r="O85" s="1778"/>
      <c r="P85" s="1778"/>
      <c r="Q85" s="1778"/>
      <c r="R85" s="1778"/>
    </row>
    <row r="86" spans="1:18" ht="12.75" customHeight="1" x14ac:dyDescent="0.25">
      <c r="A86" s="1872" t="s">
        <v>2159</v>
      </c>
      <c r="B86" s="583"/>
      <c r="C86" s="1873"/>
      <c r="D86" s="1873"/>
      <c r="E86" s="1873"/>
      <c r="F86" s="1874"/>
      <c r="G86" s="1875"/>
      <c r="H86" s="1875"/>
      <c r="I86" s="1873"/>
      <c r="J86" s="1874"/>
      <c r="K86" s="1778"/>
      <c r="L86" s="1778"/>
      <c r="M86" s="1778"/>
      <c r="N86" s="1778"/>
      <c r="O86" s="1778"/>
      <c r="P86" s="1778"/>
      <c r="Q86" s="1778"/>
      <c r="R86" s="1778"/>
    </row>
    <row r="87" spans="1:18" ht="12.75" customHeight="1" x14ac:dyDescent="0.25">
      <c r="A87" s="1872" t="s">
        <v>2160</v>
      </c>
      <c r="B87" s="583"/>
      <c r="C87" s="1873"/>
      <c r="D87" s="1873"/>
      <c r="E87" s="1873"/>
      <c r="F87" s="1874"/>
      <c r="G87" s="1875"/>
      <c r="H87" s="1875"/>
      <c r="I87" s="1873"/>
      <c r="J87" s="1874"/>
      <c r="K87" s="1778"/>
      <c r="L87" s="1778"/>
      <c r="M87" s="1778"/>
      <c r="N87" s="1778"/>
      <c r="O87" s="1778"/>
      <c r="P87" s="1778"/>
      <c r="Q87" s="1778"/>
      <c r="R87" s="1778"/>
    </row>
    <row r="88" spans="1:18" ht="12.75" customHeight="1" x14ac:dyDescent="0.25">
      <c r="A88" s="1872" t="s">
        <v>2161</v>
      </c>
      <c r="B88" s="583"/>
      <c r="C88" s="1873"/>
      <c r="D88" s="1873"/>
      <c r="E88" s="1873"/>
      <c r="F88" s="1874"/>
      <c r="G88" s="1875"/>
      <c r="H88" s="1875"/>
      <c r="I88" s="1873"/>
      <c r="J88" s="1874"/>
      <c r="K88" s="1778"/>
      <c r="L88" s="1778"/>
      <c r="M88" s="1778"/>
      <c r="N88" s="1778"/>
      <c r="O88" s="1778"/>
      <c r="P88" s="1778"/>
      <c r="Q88" s="1778"/>
      <c r="R88" s="1778"/>
    </row>
    <row r="89" spans="1:18" ht="5.0999999999999996" customHeight="1" x14ac:dyDescent="0.25">
      <c r="A89" s="614"/>
      <c r="B89" s="615"/>
      <c r="C89" s="615"/>
      <c r="D89" s="1881"/>
      <c r="E89" s="1881"/>
      <c r="F89" s="1882"/>
      <c r="G89" s="1883"/>
      <c r="H89" s="1883"/>
      <c r="I89" s="1881"/>
      <c r="J89" s="1882"/>
      <c r="K89" s="1778"/>
      <c r="L89" s="1778"/>
      <c r="M89" s="1778"/>
      <c r="N89" s="1778"/>
      <c r="O89" s="1778"/>
      <c r="P89" s="1778"/>
      <c r="Q89" s="1778"/>
      <c r="R89" s="1778"/>
    </row>
    <row r="90" spans="1:18" ht="11.25" customHeight="1" x14ac:dyDescent="0.25">
      <c r="A90" s="930" t="str">
        <f>head27a</f>
        <v>References</v>
      </c>
      <c r="B90" s="845"/>
      <c r="C90" s="845"/>
      <c r="D90" s="624"/>
      <c r="E90" s="624"/>
      <c r="F90" s="624"/>
      <c r="G90" s="864"/>
      <c r="H90" s="624"/>
      <c r="I90" s="624"/>
      <c r="J90" s="625"/>
      <c r="K90" s="519"/>
      <c r="L90" s="519"/>
      <c r="M90" s="519"/>
      <c r="N90" s="519"/>
      <c r="O90" s="519"/>
      <c r="P90" s="519"/>
      <c r="Q90" s="519"/>
      <c r="R90" s="519"/>
    </row>
    <row r="91" spans="1:18" ht="11.25" customHeight="1" x14ac:dyDescent="0.25">
      <c r="A91" s="1138" t="s">
        <v>2162</v>
      </c>
      <c r="B91" s="865"/>
      <c r="C91" s="865"/>
      <c r="D91" s="866"/>
      <c r="E91" s="866"/>
      <c r="F91" s="866"/>
      <c r="G91" s="866"/>
      <c r="H91" s="866"/>
      <c r="I91" s="866"/>
      <c r="J91" s="866"/>
      <c r="K91" s="1780"/>
      <c r="L91" s="1780"/>
      <c r="M91" s="1780"/>
      <c r="N91" s="1780"/>
      <c r="O91" s="1780"/>
      <c r="P91" s="1780"/>
      <c r="Q91" s="1780"/>
      <c r="R91" s="1780"/>
    </row>
    <row r="92" spans="1:18" ht="11.25" customHeight="1" x14ac:dyDescent="0.25">
      <c r="A92" s="1138"/>
      <c r="B92" s="865"/>
      <c r="C92" s="865"/>
      <c r="D92" s="866"/>
      <c r="E92" s="866"/>
      <c r="F92" s="866"/>
      <c r="G92" s="866"/>
      <c r="H92" s="866"/>
      <c r="I92" s="866"/>
      <c r="J92" s="866"/>
      <c r="K92" s="1780"/>
      <c r="L92" s="1780"/>
      <c r="M92" s="1780"/>
      <c r="N92" s="1780"/>
      <c r="O92" s="1780"/>
      <c r="P92" s="1780"/>
      <c r="Q92" s="1780"/>
      <c r="R92" s="1780"/>
    </row>
    <row r="93" spans="1:18" ht="11.25" customHeight="1" x14ac:dyDescent="0.25">
      <c r="A93" s="1768"/>
      <c r="C93" s="1780"/>
      <c r="D93" s="1780"/>
      <c r="E93" s="1780"/>
      <c r="F93" s="1780"/>
      <c r="G93" s="1780"/>
      <c r="H93" s="1780"/>
      <c r="I93" s="1780"/>
      <c r="J93" s="1780"/>
      <c r="K93" s="1780"/>
      <c r="L93" s="1780"/>
      <c r="M93" s="1780"/>
      <c r="N93" s="1780"/>
      <c r="O93" s="1780"/>
      <c r="P93" s="1780"/>
      <c r="Q93" s="1780"/>
      <c r="R93" s="1780"/>
    </row>
    <row r="94" spans="1:18" ht="11.25" customHeight="1" x14ac:dyDescent="0.25">
      <c r="A94" s="1768"/>
      <c r="C94" s="1780"/>
      <c r="D94" s="1780"/>
      <c r="E94" s="1780"/>
      <c r="F94" s="1780"/>
      <c r="G94" s="1780"/>
      <c r="H94" s="1780"/>
      <c r="I94" s="1780"/>
      <c r="J94" s="1780"/>
      <c r="K94" s="1780"/>
      <c r="L94" s="1780"/>
      <c r="M94" s="1780"/>
      <c r="N94" s="1780"/>
      <c r="O94" s="1780"/>
      <c r="P94" s="1780"/>
      <c r="Q94" s="1780"/>
      <c r="R94" s="1780"/>
    </row>
    <row r="95" spans="1:18" ht="11.25" customHeight="1" x14ac:dyDescent="0.25">
      <c r="A95" s="1768"/>
      <c r="C95" s="1780"/>
      <c r="D95" s="1780"/>
      <c r="E95" s="1780"/>
      <c r="F95" s="1780"/>
      <c r="G95" s="1780"/>
      <c r="H95" s="1780"/>
      <c r="I95" s="1780"/>
      <c r="J95" s="1780"/>
      <c r="K95" s="1780"/>
      <c r="L95" s="1780"/>
      <c r="M95" s="1780"/>
      <c r="N95" s="1780"/>
      <c r="O95" s="1780"/>
      <c r="P95" s="1780"/>
      <c r="Q95" s="1780"/>
      <c r="R95" s="1780"/>
    </row>
    <row r="96" spans="1:18" ht="11.25" customHeight="1" x14ac:dyDescent="0.25">
      <c r="A96" s="1768"/>
      <c r="B96" s="1772"/>
      <c r="C96" s="1780"/>
      <c r="D96" s="1780"/>
      <c r="E96" s="1780"/>
      <c r="F96" s="1780"/>
      <c r="G96" s="1780"/>
      <c r="H96" s="1780"/>
      <c r="I96" s="1780"/>
      <c r="J96" s="1780"/>
      <c r="K96" s="1780"/>
      <c r="L96" s="1780"/>
      <c r="M96" s="1780"/>
      <c r="N96" s="1780"/>
      <c r="O96" s="1780"/>
      <c r="P96" s="1780"/>
      <c r="Q96" s="1780"/>
      <c r="R96" s="1780"/>
    </row>
    <row r="97" spans="1:18" ht="11.25" customHeight="1" x14ac:dyDescent="0.25">
      <c r="A97" s="1773"/>
      <c r="C97" s="1770"/>
      <c r="D97" s="1770"/>
      <c r="E97" s="1770"/>
      <c r="F97" s="1770"/>
      <c r="G97" s="1770"/>
      <c r="H97" s="1770"/>
      <c r="I97" s="1770"/>
      <c r="J97" s="1770"/>
      <c r="K97" s="1770"/>
      <c r="L97" s="1770"/>
      <c r="M97" s="1770"/>
      <c r="N97" s="1770"/>
      <c r="O97" s="1770"/>
      <c r="P97" s="1770"/>
      <c r="Q97" s="1770"/>
      <c r="R97" s="1770"/>
    </row>
    <row r="98" spans="1:18" ht="11.25" customHeight="1" x14ac:dyDescent="0.25">
      <c r="A98" s="1768"/>
      <c r="C98" s="1781"/>
      <c r="D98" s="1781"/>
      <c r="E98" s="1781"/>
      <c r="F98" s="1781"/>
      <c r="G98" s="1781"/>
      <c r="H98" s="1781"/>
      <c r="I98" s="1781"/>
      <c r="J98" s="1781"/>
      <c r="K98" s="1781"/>
      <c r="L98" s="1781"/>
      <c r="M98" s="1781"/>
      <c r="N98" s="1781"/>
      <c r="O98" s="1781"/>
      <c r="P98" s="1781"/>
      <c r="Q98" s="1781"/>
      <c r="R98" s="1781"/>
    </row>
    <row r="99" spans="1:18" ht="11.25" customHeight="1" x14ac:dyDescent="0.25">
      <c r="A99" s="1768"/>
      <c r="C99" s="1781"/>
      <c r="D99" s="1781"/>
      <c r="E99" s="1781"/>
      <c r="F99" s="1781"/>
      <c r="G99" s="1781"/>
      <c r="H99" s="1781"/>
      <c r="I99" s="1781"/>
      <c r="J99" s="1781"/>
      <c r="K99" s="1781"/>
      <c r="L99" s="1781"/>
      <c r="M99" s="1781"/>
      <c r="N99" s="1781"/>
      <c r="O99" s="1781"/>
      <c r="P99" s="1781"/>
      <c r="Q99" s="1781"/>
      <c r="R99" s="1781"/>
    </row>
    <row r="100" spans="1:18" ht="11.25" customHeight="1" x14ac:dyDescent="0.25">
      <c r="A100" s="1768"/>
      <c r="C100" s="1781"/>
      <c r="D100" s="1781"/>
      <c r="E100" s="1781"/>
      <c r="F100" s="1781"/>
      <c r="G100" s="1781"/>
      <c r="H100" s="1781"/>
      <c r="I100" s="1781"/>
      <c r="J100" s="1781"/>
      <c r="K100" s="1781"/>
      <c r="L100" s="1781"/>
      <c r="M100" s="1781"/>
      <c r="N100" s="1781"/>
      <c r="O100" s="1781"/>
      <c r="P100" s="1781"/>
      <c r="Q100" s="1781"/>
      <c r="R100" s="1781"/>
    </row>
    <row r="101" spans="1:18" ht="11.25" customHeight="1" x14ac:dyDescent="0.25">
      <c r="A101" s="1768"/>
      <c r="B101" s="1782"/>
      <c r="C101" s="1783"/>
      <c r="D101" s="1783"/>
      <c r="E101" s="1783"/>
      <c r="F101" s="1783"/>
      <c r="G101" s="1783"/>
      <c r="H101" s="1783"/>
      <c r="I101" s="1783"/>
      <c r="J101" s="1783"/>
      <c r="K101" s="1783"/>
      <c r="L101" s="1783"/>
      <c r="M101" s="1783"/>
      <c r="N101" s="1783"/>
      <c r="O101" s="1783"/>
      <c r="P101" s="1783"/>
      <c r="Q101" s="1783"/>
      <c r="R101" s="1783"/>
    </row>
    <row r="102" spans="1:18" ht="11.25" customHeight="1" x14ac:dyDescent="0.25">
      <c r="A102" s="1775"/>
      <c r="B102" s="1782"/>
      <c r="C102" s="1771"/>
      <c r="D102" s="1771"/>
      <c r="E102" s="1771"/>
      <c r="F102" s="1771"/>
      <c r="G102" s="1771"/>
      <c r="H102" s="1771"/>
      <c r="I102" s="1771"/>
      <c r="J102" s="1771"/>
      <c r="K102" s="1771"/>
      <c r="L102" s="1771"/>
      <c r="M102" s="1771"/>
      <c r="N102" s="1771"/>
      <c r="O102" s="1771"/>
      <c r="P102" s="1771"/>
      <c r="Q102" s="1771"/>
      <c r="R102" s="1771"/>
    </row>
    <row r="103" spans="1:18" ht="11.25" customHeight="1" x14ac:dyDescent="0.25">
      <c r="A103" s="1768"/>
      <c r="B103" s="1772"/>
      <c r="C103" s="1784"/>
      <c r="D103" s="1784"/>
      <c r="E103" s="1784"/>
      <c r="F103" s="1784"/>
      <c r="G103" s="1784"/>
      <c r="H103" s="1784"/>
      <c r="I103" s="1784"/>
      <c r="J103" s="1784"/>
      <c r="K103" s="1784"/>
      <c r="L103" s="1784"/>
      <c r="M103" s="1784"/>
      <c r="N103" s="1784"/>
      <c r="O103" s="1784"/>
      <c r="P103" s="1784"/>
      <c r="Q103" s="1784"/>
      <c r="R103" s="1784"/>
    </row>
    <row r="104" spans="1:18" ht="11.25" customHeight="1" x14ac:dyDescent="0.25">
      <c r="A104" s="1768"/>
      <c r="B104" s="1772"/>
      <c r="C104" s="1067"/>
      <c r="D104" s="1067"/>
      <c r="E104" s="1067"/>
      <c r="F104" s="1067"/>
      <c r="G104" s="1067"/>
      <c r="H104" s="1067"/>
      <c r="I104" s="1067"/>
      <c r="J104" s="1067"/>
      <c r="K104" s="1067"/>
      <c r="L104" s="1067"/>
      <c r="M104" s="1067"/>
      <c r="N104" s="1067"/>
      <c r="O104" s="1067"/>
      <c r="P104" s="1067"/>
      <c r="Q104" s="1067"/>
      <c r="R104" s="1067"/>
    </row>
    <row r="105" spans="1:18" ht="11.25" customHeight="1" x14ac:dyDescent="0.25">
      <c r="A105" s="1768"/>
      <c r="B105" s="1772"/>
      <c r="C105" s="1067"/>
      <c r="D105" s="1067"/>
      <c r="E105" s="1067"/>
      <c r="F105" s="1067"/>
      <c r="G105" s="1067"/>
      <c r="H105" s="1067"/>
      <c r="I105" s="1067"/>
      <c r="J105" s="1067"/>
      <c r="K105" s="1067"/>
      <c r="L105" s="1067"/>
      <c r="M105" s="1067"/>
      <c r="N105" s="1067"/>
      <c r="O105" s="1067"/>
      <c r="P105" s="1067"/>
      <c r="Q105" s="1067"/>
      <c r="R105" s="1067"/>
    </row>
    <row r="106" spans="1:18" ht="11.25" customHeight="1" x14ac:dyDescent="0.25">
      <c r="A106" s="1768"/>
      <c r="B106" s="1772"/>
      <c r="C106" s="1785"/>
      <c r="D106" s="1785"/>
      <c r="E106" s="1785"/>
      <c r="F106" s="1785"/>
      <c r="G106" s="1785"/>
      <c r="H106" s="1785"/>
      <c r="I106" s="1785"/>
      <c r="J106" s="1785"/>
      <c r="K106" s="1785"/>
      <c r="L106" s="1785"/>
      <c r="M106" s="1785"/>
      <c r="N106" s="1785"/>
      <c r="O106" s="1785"/>
      <c r="P106" s="1785"/>
      <c r="Q106" s="1785"/>
      <c r="R106" s="1785"/>
    </row>
    <row r="107" spans="1:18" ht="11.25" customHeight="1" x14ac:dyDescent="0.25">
      <c r="A107" s="1768"/>
      <c r="B107" s="1772"/>
      <c r="C107" s="1786"/>
      <c r="D107" s="1786"/>
      <c r="E107" s="1786"/>
      <c r="F107" s="1786"/>
      <c r="G107" s="1786"/>
      <c r="H107" s="1786"/>
      <c r="I107" s="1786"/>
      <c r="J107" s="1786"/>
      <c r="K107" s="1786"/>
      <c r="L107" s="1786"/>
      <c r="M107" s="1786"/>
      <c r="N107" s="1786"/>
      <c r="O107" s="1786"/>
      <c r="P107" s="1786"/>
      <c r="Q107" s="1786"/>
      <c r="R107" s="1786"/>
    </row>
    <row r="108" spans="1:18" ht="11.25" customHeight="1" x14ac:dyDescent="0.25">
      <c r="A108" s="1768"/>
      <c r="B108" s="1772"/>
      <c r="C108" s="1786"/>
      <c r="D108" s="1786"/>
      <c r="E108" s="1786"/>
      <c r="F108" s="1786"/>
      <c r="G108" s="1786"/>
      <c r="H108" s="1786"/>
      <c r="I108" s="1786"/>
      <c r="J108" s="1786"/>
      <c r="K108" s="1786"/>
      <c r="L108" s="1786"/>
      <c r="M108" s="1786"/>
      <c r="N108" s="1786"/>
      <c r="O108" s="1786"/>
      <c r="P108" s="1786"/>
      <c r="Q108" s="1786"/>
      <c r="R108" s="1786"/>
    </row>
    <row r="109" spans="1:18" ht="11.25" customHeight="1" x14ac:dyDescent="0.25">
      <c r="A109" s="1768"/>
      <c r="B109" s="1772"/>
      <c r="C109" s="1786"/>
      <c r="D109" s="1786"/>
      <c r="E109" s="1786"/>
      <c r="F109" s="1786"/>
      <c r="G109" s="1786"/>
      <c r="H109" s="1786"/>
      <c r="I109" s="1786"/>
      <c r="J109" s="1786"/>
      <c r="K109" s="1786"/>
      <c r="L109" s="1786"/>
      <c r="M109" s="1786"/>
      <c r="N109" s="1786"/>
      <c r="O109" s="1786"/>
      <c r="P109" s="1786"/>
      <c r="Q109" s="1786"/>
      <c r="R109" s="1786"/>
    </row>
    <row r="110" spans="1:18" ht="11.25" customHeight="1" x14ac:dyDescent="0.25">
      <c r="A110" s="1768"/>
      <c r="B110" s="1772"/>
      <c r="C110" s="1786"/>
      <c r="D110" s="1786"/>
      <c r="E110" s="1786"/>
      <c r="F110" s="1786"/>
      <c r="G110" s="1786"/>
      <c r="H110" s="1786"/>
      <c r="I110" s="1786"/>
      <c r="J110" s="1786"/>
      <c r="K110" s="1786"/>
      <c r="L110" s="1786"/>
      <c r="M110" s="1786"/>
      <c r="N110" s="1786"/>
      <c r="O110" s="1786"/>
      <c r="P110" s="1786"/>
      <c r="Q110" s="1786"/>
      <c r="R110" s="1786"/>
    </row>
    <row r="111" spans="1:18" ht="11.25" customHeight="1" x14ac:dyDescent="0.25">
      <c r="A111" s="1768"/>
      <c r="B111" s="1772"/>
      <c r="C111" s="1786"/>
      <c r="D111" s="1786"/>
      <c r="E111" s="1786"/>
      <c r="F111" s="1786"/>
      <c r="G111" s="1786"/>
      <c r="H111" s="1786"/>
      <c r="I111" s="1786"/>
      <c r="J111" s="1786"/>
      <c r="K111" s="1786"/>
      <c r="L111" s="1786"/>
      <c r="M111" s="1786"/>
      <c r="N111" s="1786"/>
      <c r="O111" s="1786"/>
      <c r="P111" s="1786"/>
      <c r="Q111" s="1786"/>
      <c r="R111" s="1786"/>
    </row>
    <row r="112" spans="1:18" ht="11.25" customHeight="1" x14ac:dyDescent="0.25">
      <c r="A112" s="1768"/>
      <c r="B112" s="1772"/>
      <c r="C112" s="1786"/>
      <c r="D112" s="1786"/>
      <c r="E112" s="1786"/>
      <c r="F112" s="1786"/>
      <c r="G112" s="1786"/>
      <c r="H112" s="1786"/>
      <c r="I112" s="1786"/>
      <c r="J112" s="1786"/>
      <c r="K112" s="1786"/>
      <c r="L112" s="1786"/>
      <c r="M112" s="1786"/>
      <c r="N112" s="1786"/>
      <c r="O112" s="1786"/>
      <c r="P112" s="1786"/>
      <c r="Q112" s="1786"/>
      <c r="R112" s="1786"/>
    </row>
    <row r="113" spans="1:18" ht="11.25" customHeight="1" x14ac:dyDescent="0.25">
      <c r="A113" s="1773"/>
      <c r="B113" s="1772"/>
      <c r="C113" s="253"/>
      <c r="D113" s="253"/>
      <c r="E113" s="253"/>
      <c r="F113" s="253"/>
      <c r="G113" s="253"/>
      <c r="H113" s="253"/>
      <c r="I113" s="253"/>
      <c r="J113" s="253"/>
      <c r="K113" s="253"/>
      <c r="L113" s="253"/>
      <c r="M113" s="253"/>
      <c r="N113" s="253"/>
      <c r="O113" s="253"/>
      <c r="P113" s="253"/>
      <c r="Q113" s="253"/>
      <c r="R113" s="253"/>
    </row>
    <row r="114" spans="1:18" ht="5.0999999999999996" customHeight="1" x14ac:dyDescent="0.25">
      <c r="A114" s="1774"/>
      <c r="C114" s="331"/>
      <c r="D114" s="331"/>
      <c r="E114" s="331"/>
      <c r="F114" s="331"/>
      <c r="G114" s="331"/>
      <c r="H114" s="331"/>
      <c r="I114" s="331"/>
      <c r="J114" s="331"/>
      <c r="K114" s="331"/>
      <c r="L114" s="331"/>
      <c r="M114" s="331"/>
      <c r="N114" s="331"/>
      <c r="O114" s="331"/>
      <c r="P114" s="331"/>
      <c r="Q114" s="331"/>
      <c r="R114" s="331"/>
    </row>
    <row r="115" spans="1:18" s="851" customFormat="1" x14ac:dyDescent="0.25">
      <c r="A115" s="1787"/>
      <c r="B115" s="1778"/>
      <c r="C115" s="839"/>
      <c r="D115" s="839"/>
      <c r="E115" s="839"/>
      <c r="F115" s="839"/>
      <c r="G115" s="839"/>
      <c r="H115" s="839"/>
      <c r="I115" s="839"/>
      <c r="J115" s="839"/>
      <c r="K115" s="839"/>
      <c r="L115" s="839"/>
      <c r="M115" s="839"/>
      <c r="N115" s="839"/>
      <c r="O115" s="839"/>
      <c r="P115" s="839"/>
      <c r="Q115" s="839"/>
      <c r="R115" s="839"/>
    </row>
    <row r="116" spans="1:18" s="851" customFormat="1" x14ac:dyDescent="0.25">
      <c r="A116" s="1788"/>
      <c r="B116" s="1778"/>
      <c r="C116" s="839"/>
      <c r="D116" s="839"/>
      <c r="E116" s="839"/>
      <c r="F116" s="839"/>
      <c r="G116" s="839"/>
      <c r="H116" s="839"/>
      <c r="I116" s="839"/>
      <c r="J116" s="839"/>
      <c r="K116" s="839"/>
      <c r="L116" s="839"/>
      <c r="M116" s="839"/>
      <c r="N116" s="839"/>
      <c r="O116" s="839"/>
      <c r="P116" s="839"/>
      <c r="Q116" s="839"/>
      <c r="R116" s="839"/>
    </row>
    <row r="117" spans="1:18" s="851" customFormat="1" x14ac:dyDescent="0.25">
      <c r="A117" s="1788"/>
      <c r="B117" s="1778"/>
      <c r="C117" s="839"/>
      <c r="D117" s="839"/>
      <c r="E117" s="839"/>
      <c r="F117" s="839"/>
      <c r="G117" s="839"/>
      <c r="H117" s="839"/>
      <c r="I117" s="839"/>
      <c r="J117" s="839"/>
      <c r="K117" s="839"/>
      <c r="L117" s="839"/>
      <c r="M117" s="839"/>
      <c r="N117" s="839"/>
      <c r="O117" s="839"/>
      <c r="P117" s="839"/>
      <c r="Q117" s="839"/>
      <c r="R117" s="839"/>
    </row>
    <row r="118" spans="1:18" s="851" customFormat="1" x14ac:dyDescent="0.25">
      <c r="A118" s="1235"/>
      <c r="B118" s="1778"/>
      <c r="C118" s="839"/>
      <c r="D118" s="839"/>
      <c r="E118" s="839"/>
      <c r="F118" s="839"/>
      <c r="G118" s="839"/>
      <c r="H118" s="839"/>
      <c r="I118" s="839"/>
      <c r="J118" s="839"/>
      <c r="K118" s="839"/>
      <c r="L118" s="839"/>
      <c r="M118" s="839"/>
      <c r="N118" s="839"/>
      <c r="O118" s="839"/>
      <c r="P118" s="839"/>
      <c r="Q118" s="839"/>
      <c r="R118" s="839"/>
    </row>
    <row r="119" spans="1:18" s="851" customFormat="1" x14ac:dyDescent="0.25">
      <c r="A119" s="1788"/>
      <c r="B119" s="1778"/>
      <c r="C119" s="839"/>
      <c r="D119" s="839"/>
      <c r="E119" s="839"/>
      <c r="F119" s="839"/>
      <c r="G119" s="839"/>
      <c r="H119" s="839"/>
      <c r="I119" s="839"/>
      <c r="J119" s="839"/>
      <c r="K119" s="839"/>
      <c r="L119" s="839"/>
      <c r="M119" s="839"/>
      <c r="N119" s="839"/>
      <c r="O119" s="839"/>
      <c r="P119" s="839"/>
      <c r="Q119" s="839"/>
      <c r="R119" s="839"/>
    </row>
    <row r="120" spans="1:18" x14ac:dyDescent="0.25">
      <c r="A120" s="931"/>
      <c r="C120" s="233"/>
      <c r="D120" s="233"/>
      <c r="E120" s="233"/>
      <c r="F120" s="233"/>
      <c r="G120" s="234"/>
      <c r="H120" s="234"/>
      <c r="I120" s="234"/>
      <c r="J120" s="234"/>
      <c r="K120" s="234"/>
      <c r="L120" s="234"/>
      <c r="M120" s="234"/>
      <c r="N120" s="234"/>
      <c r="O120" s="234"/>
      <c r="P120" s="234"/>
      <c r="Q120" s="234"/>
      <c r="R120" s="234"/>
    </row>
    <row r="121" spans="1:18" x14ac:dyDescent="0.25">
      <c r="A121" s="931"/>
      <c r="C121" s="233"/>
      <c r="D121" s="233"/>
      <c r="E121" s="233"/>
      <c r="F121" s="233"/>
      <c r="G121" s="234"/>
      <c r="H121" s="234"/>
      <c r="I121" s="234"/>
      <c r="J121" s="234"/>
      <c r="K121" s="234"/>
      <c r="L121" s="234"/>
      <c r="M121" s="234"/>
      <c r="N121" s="234"/>
      <c r="O121" s="234"/>
      <c r="P121" s="234"/>
      <c r="Q121" s="234"/>
      <c r="R121" s="234"/>
    </row>
    <row r="122" spans="1:18" ht="11.25" customHeight="1" x14ac:dyDescent="0.25"/>
    <row r="123" spans="1:18" ht="11.25" customHeight="1" x14ac:dyDescent="0.25">
      <c r="B123" s="1774"/>
    </row>
    <row r="124" spans="1:18" ht="11.25" customHeight="1" x14ac:dyDescent="0.25">
      <c r="B124" s="1774"/>
    </row>
    <row r="125" spans="1:18" ht="11.25" customHeight="1" x14ac:dyDescent="0.25">
      <c r="B125" s="1774"/>
    </row>
    <row r="126" spans="1:18" ht="11.25" customHeight="1" x14ac:dyDescent="0.25"/>
    <row r="127" spans="1:18" ht="11.25" customHeight="1" x14ac:dyDescent="0.25"/>
    <row r="128" spans="1:1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row r="148" ht="11.25" customHeight="1" x14ac:dyDescent="0.25"/>
    <row r="149" ht="11.25" customHeight="1" x14ac:dyDescent="0.25"/>
    <row r="150" ht="11.25" customHeight="1" x14ac:dyDescent="0.25"/>
    <row r="151" ht="11.25" customHeight="1" x14ac:dyDescent="0.25"/>
    <row r="152" ht="11.25" customHeight="1" x14ac:dyDescent="0.25"/>
    <row r="153" ht="11.25" customHeight="1" x14ac:dyDescent="0.25"/>
    <row r="154" ht="11.25" customHeight="1" x14ac:dyDescent="0.25"/>
    <row r="155" ht="11.25" customHeight="1" x14ac:dyDescent="0.25"/>
  </sheetData>
  <sheetProtection sheet="1" objects="1" scenarios="1"/>
  <mergeCells count="7">
    <mergeCell ref="G2:G3"/>
    <mergeCell ref="A2:A3"/>
    <mergeCell ref="B2:B3"/>
    <mergeCell ref="C2:C3"/>
    <mergeCell ref="D2:D3"/>
    <mergeCell ref="E2:E3"/>
    <mergeCell ref="F2:F3"/>
  </mergeCells>
  <dataValidations count="6">
    <dataValidation type="list" allowBlank="1" showInputMessage="1" showErrorMessage="1" promptTitle="Select" prompt="Select one" sqref="K18:R18">
      <formula1>List3</formula1>
    </dataValidation>
    <dataValidation type="list" allowBlank="1" showInputMessage="1" showErrorMessage="1" promptTitle="Select" prompt="Select one" sqref="K82:R83 C82:C83 K17:R17">
      <formula1>List2</formula1>
    </dataValidation>
    <dataValidation type="list" allowBlank="1" showInputMessage="1" showErrorMessage="1" promptTitle="Select" prompt="Select one" sqref="K84:R84 C84 K19:R19">
      <formula1>List4</formula1>
    </dataValidation>
    <dataValidation type="list" allowBlank="1" showInputMessage="1" showErrorMessage="1" promptTitle="Select" prompt="Select one" sqref="K85:R85 K20:R20">
      <formula1>List5</formula1>
    </dataValidation>
    <dataValidation type="list" showInputMessage="1" showErrorMessage="1" promptTitle="Guidance" prompt="Select Yes or No" sqref="K87:R88 K22:R23">
      <formula1>List6</formula1>
    </dataValidation>
    <dataValidation type="list" showInputMessage="1" showErrorMessage="1" promptTitle="Guidance" prompt="Select Uniform or Variable" sqref="K89:R89 K24:R24">
      <formula1>List7</formula1>
    </dataValidation>
  </dataValidations>
  <pageMargins left="0.75" right="0.75" top="1" bottom="1" header="0.5" footer="0.5"/>
  <pageSetup scale="46" orientation="portrait" r:id="rId1"/>
  <headerFooter alignWithMargins="0"/>
  <rowBreaks count="1" manualBreakCount="1">
    <brk id="57"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enableFormatConditionsCalculation="0">
    <tabColor indexed="42"/>
    <pageSetUpPr fitToPage="1"/>
  </sheetPr>
  <dimension ref="A1:AN118"/>
  <sheetViews>
    <sheetView showGridLines="0" tabSelected="1" workbookViewId="0">
      <pane xSplit="2" ySplit="4" topLeftCell="F21"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12" width="9.28515625" style="148" customWidth="1"/>
    <col min="13" max="16384" width="9.140625" style="148"/>
  </cols>
  <sheetData>
    <row r="1" spans="1:12" ht="13.5" x14ac:dyDescent="0.25">
      <c r="A1" s="146" t="str">
        <f>muni&amp;" - "&amp;TableA14</f>
        <v>NC071 Ubuntu - Supporting Table SA14 Household bills</v>
      </c>
      <c r="B1" s="146"/>
      <c r="C1" s="146"/>
      <c r="D1" s="146"/>
      <c r="E1" s="146"/>
      <c r="F1" s="146"/>
      <c r="G1" s="146"/>
      <c r="H1" s="146"/>
      <c r="I1" s="146"/>
      <c r="J1" s="146"/>
      <c r="K1" s="146"/>
      <c r="L1" s="146"/>
    </row>
    <row r="2" spans="1:12" ht="27" customHeight="1" x14ac:dyDescent="0.25">
      <c r="A2" s="2727" t="str">
        <f>desc</f>
        <v>Description</v>
      </c>
      <c r="B2" s="2729" t="str">
        <f>head27</f>
        <v>Ref</v>
      </c>
      <c r="C2" s="149" t="str">
        <f>head1b</f>
        <v>2008/9</v>
      </c>
      <c r="D2" s="149" t="str">
        <f>head1A</f>
        <v>2009/10</v>
      </c>
      <c r="E2" s="145" t="str">
        <f>Head1</f>
        <v>2010/11</v>
      </c>
      <c r="F2" s="2700" t="str">
        <f>Head2</f>
        <v>Current Year 2011/12</v>
      </c>
      <c r="G2" s="2701"/>
      <c r="H2" s="2701"/>
      <c r="I2" s="571" t="str">
        <f>Head3</f>
        <v>2012/13 Medium Term Revenue &amp; Expenditure Framework</v>
      </c>
      <c r="J2" s="572"/>
      <c r="K2" s="573"/>
      <c r="L2" s="574"/>
    </row>
    <row r="3" spans="1:12" ht="25.5" x14ac:dyDescent="0.25">
      <c r="A3" s="2728"/>
      <c r="B3" s="2730"/>
      <c r="C3" s="151" t="str">
        <f>Head5</f>
        <v>Audited Outcome</v>
      </c>
      <c r="D3" s="151" t="str">
        <f>Head5</f>
        <v>Audited Outcome</v>
      </c>
      <c r="E3" s="152" t="str">
        <f>Head5</f>
        <v>Audited Outcome</v>
      </c>
      <c r="F3" s="150" t="str">
        <f>Head6</f>
        <v>Original Budget</v>
      </c>
      <c r="G3" s="151" t="str">
        <f>Head7</f>
        <v>Adjusted Budget</v>
      </c>
      <c r="H3" s="153" t="str">
        <f>Head8</f>
        <v>Full Year Forecast</v>
      </c>
      <c r="I3" s="575" t="str">
        <f>Head9</f>
        <v>Budget Year 2012/13</v>
      </c>
      <c r="J3" s="153" t="str">
        <f>Head9</f>
        <v>Budget Year 2012/13</v>
      </c>
      <c r="K3" s="576" t="str">
        <f>Head10</f>
        <v>Budget Year +1 2013/14</v>
      </c>
      <c r="L3" s="152" t="str">
        <f>Head11</f>
        <v>Budget Year +2 2014/15</v>
      </c>
    </row>
    <row r="4" spans="1:12" x14ac:dyDescent="0.25">
      <c r="A4" s="179" t="s">
        <v>1296</v>
      </c>
      <c r="B4" s="2735"/>
      <c r="C4" s="138"/>
      <c r="D4" s="138"/>
      <c r="E4" s="155"/>
      <c r="F4" s="154"/>
      <c r="G4" s="138"/>
      <c r="H4" s="156"/>
      <c r="I4" s="140" t="s">
        <v>828</v>
      </c>
      <c r="J4" s="156"/>
      <c r="K4" s="138"/>
      <c r="L4" s="155"/>
    </row>
    <row r="5" spans="1:12" ht="25.5" x14ac:dyDescent="0.25">
      <c r="A5" s="461" t="s">
        <v>2204</v>
      </c>
      <c r="B5" s="577">
        <v>1</v>
      </c>
      <c r="C5" s="578"/>
      <c r="D5" s="578"/>
      <c r="E5" s="579"/>
      <c r="F5" s="580"/>
      <c r="G5" s="578"/>
      <c r="H5" s="581"/>
      <c r="I5" s="582"/>
      <c r="J5" s="581"/>
      <c r="K5" s="578"/>
      <c r="L5" s="579"/>
    </row>
    <row r="6" spans="1:12" x14ac:dyDescent="0.25">
      <c r="A6" s="282" t="s">
        <v>798</v>
      </c>
      <c r="B6" s="583"/>
      <c r="C6" s="584"/>
      <c r="D6" s="584"/>
      <c r="E6" s="585"/>
      <c r="F6" s="586"/>
      <c r="G6" s="584"/>
      <c r="H6" s="587"/>
      <c r="I6" s="588"/>
      <c r="J6" s="587"/>
      <c r="K6" s="584"/>
      <c r="L6" s="585"/>
    </row>
    <row r="7" spans="1:12" x14ac:dyDescent="0.25">
      <c r="A7" s="285" t="s">
        <v>543</v>
      </c>
      <c r="B7" s="583"/>
      <c r="C7" s="1454">
        <v>542.54999999999995</v>
      </c>
      <c r="D7" s="1454">
        <v>540.4</v>
      </c>
      <c r="E7" s="1455">
        <v>572.79999999999995</v>
      </c>
      <c r="F7" s="1456">
        <v>592.75</v>
      </c>
      <c r="G7" s="1456">
        <v>592.75</v>
      </c>
      <c r="H7" s="1456">
        <v>592.75</v>
      </c>
      <c r="I7" s="1458">
        <v>0.06</v>
      </c>
      <c r="J7" s="1458">
        <v>0.06</v>
      </c>
      <c r="K7" s="1458">
        <v>0.06</v>
      </c>
      <c r="L7" s="1455"/>
    </row>
    <row r="8" spans="1:12" x14ac:dyDescent="0.25">
      <c r="A8" s="285" t="s">
        <v>1567</v>
      </c>
      <c r="B8" s="583"/>
      <c r="C8" s="1454">
        <v>50</v>
      </c>
      <c r="D8" s="1454">
        <v>50</v>
      </c>
      <c r="E8" s="1454">
        <v>50</v>
      </c>
      <c r="F8" s="1456">
        <v>78.430000000000007</v>
      </c>
      <c r="G8" s="1456">
        <v>78.430000000000007</v>
      </c>
      <c r="H8" s="1456">
        <v>78.430000000000007</v>
      </c>
      <c r="I8" s="1458">
        <v>6.0999999999999999E-2</v>
      </c>
      <c r="J8" s="1458">
        <v>6.0999999999999999E-2</v>
      </c>
      <c r="K8" s="1458">
        <v>6.0999999999999999E-2</v>
      </c>
      <c r="L8" s="1455"/>
    </row>
    <row r="9" spans="1:12" x14ac:dyDescent="0.25">
      <c r="A9" s="285" t="s">
        <v>1568</v>
      </c>
      <c r="B9" s="583"/>
      <c r="C9" s="1454">
        <v>1046.45</v>
      </c>
      <c r="D9" s="1454">
        <v>525.54999999999995</v>
      </c>
      <c r="E9" s="1455">
        <v>712.2</v>
      </c>
      <c r="F9" s="1456">
        <v>863.52</v>
      </c>
      <c r="G9" s="1456">
        <v>863.52</v>
      </c>
      <c r="H9" s="1456">
        <v>863.52</v>
      </c>
      <c r="I9" s="1458">
        <v>0.11</v>
      </c>
      <c r="J9" s="1458">
        <v>0.12</v>
      </c>
      <c r="K9" s="1458">
        <v>0.12</v>
      </c>
      <c r="L9" s="1455"/>
    </row>
    <row r="10" spans="1:12" x14ac:dyDescent="0.25">
      <c r="A10" s="285" t="s">
        <v>1569</v>
      </c>
      <c r="B10" s="583"/>
      <c r="C10" s="1454">
        <v>249.55</v>
      </c>
      <c r="D10" s="1454">
        <v>433.1</v>
      </c>
      <c r="E10" s="1455">
        <v>283.74</v>
      </c>
      <c r="F10" s="1456">
        <v>523.9</v>
      </c>
      <c r="G10" s="1456">
        <v>523.9</v>
      </c>
      <c r="H10" s="1456">
        <v>523.9</v>
      </c>
      <c r="I10" s="1458">
        <v>6.0999999999999999E-2</v>
      </c>
      <c r="J10" s="1458">
        <v>6.0999999999999999E-2</v>
      </c>
      <c r="K10" s="1458">
        <v>6.0999999999999999E-2</v>
      </c>
      <c r="L10" s="1455"/>
    </row>
    <row r="11" spans="1:12" x14ac:dyDescent="0.25">
      <c r="A11" s="285" t="s">
        <v>825</v>
      </c>
      <c r="B11" s="583"/>
      <c r="C11" s="1454">
        <v>32.75</v>
      </c>
      <c r="D11" s="1454">
        <v>32.75</v>
      </c>
      <c r="E11" s="1455">
        <v>32.700000000000003</v>
      </c>
      <c r="F11" s="1456">
        <v>34.700000000000003</v>
      </c>
      <c r="G11" s="1456">
        <v>34.700000000000003</v>
      </c>
      <c r="H11" s="1456">
        <v>34.700000000000003</v>
      </c>
      <c r="I11" s="1458">
        <v>0.06</v>
      </c>
      <c r="J11" s="1458">
        <v>0.06</v>
      </c>
      <c r="K11" s="1458">
        <v>0.06</v>
      </c>
      <c r="L11" s="1455"/>
    </row>
    <row r="12" spans="1:12" x14ac:dyDescent="0.25">
      <c r="A12" s="285" t="s">
        <v>959</v>
      </c>
      <c r="B12" s="583"/>
      <c r="C12" s="1454">
        <v>68</v>
      </c>
      <c r="D12" s="1454">
        <v>72.45</v>
      </c>
      <c r="E12" s="1455">
        <v>76.8</v>
      </c>
      <c r="F12" s="1456">
        <v>81.400000000000006</v>
      </c>
      <c r="G12" s="1456">
        <v>81.400000000000006</v>
      </c>
      <c r="H12" s="1456">
        <v>81.400000000000006</v>
      </c>
      <c r="I12" s="1458">
        <v>0.06</v>
      </c>
      <c r="J12" s="1458">
        <v>0.06</v>
      </c>
      <c r="K12" s="1458">
        <v>0.06</v>
      </c>
      <c r="L12" s="1455"/>
    </row>
    <row r="13" spans="1:12" x14ac:dyDescent="0.25">
      <c r="A13" s="285" t="s">
        <v>668</v>
      </c>
      <c r="B13" s="583"/>
      <c r="C13" s="1454">
        <v>68</v>
      </c>
      <c r="D13" s="1454">
        <v>72.45</v>
      </c>
      <c r="E13" s="1455">
        <v>76.8</v>
      </c>
      <c r="F13" s="1456">
        <v>81.400000000000006</v>
      </c>
      <c r="G13" s="1456">
        <v>81.400000000000006</v>
      </c>
      <c r="H13" s="1456">
        <v>81.400000000000006</v>
      </c>
      <c r="I13" s="1458">
        <v>0.06</v>
      </c>
      <c r="J13" s="1458">
        <v>0.06</v>
      </c>
      <c r="K13" s="1458">
        <v>0.06</v>
      </c>
      <c r="L13" s="1455"/>
    </row>
    <row r="14" spans="1:12" x14ac:dyDescent="0.25">
      <c r="A14" s="285" t="s">
        <v>293</v>
      </c>
      <c r="B14" s="583"/>
      <c r="C14" s="1454"/>
      <c r="D14" s="1454"/>
      <c r="E14" s="1455"/>
      <c r="F14" s="1456"/>
      <c r="G14" s="1454"/>
      <c r="H14" s="1457"/>
      <c r="I14" s="1458"/>
      <c r="J14" s="1457"/>
      <c r="K14" s="1454"/>
      <c r="L14" s="1455"/>
    </row>
    <row r="15" spans="1:12" x14ac:dyDescent="0.25">
      <c r="A15" s="589" t="s">
        <v>139</v>
      </c>
      <c r="B15" s="583"/>
      <c r="C15" s="590">
        <f>SUM(C7:C14)</f>
        <v>2057.3000000000002</v>
      </c>
      <c r="D15" s="590">
        <f>SUM(D7:D14)</f>
        <v>1726.6999999999998</v>
      </c>
      <c r="E15" s="591">
        <f>SUM(E7:E14)</f>
        <v>1805.04</v>
      </c>
      <c r="F15" s="592">
        <f>SUM(F7:F14)</f>
        <v>2256.1</v>
      </c>
      <c r="G15" s="590">
        <f t="shared" ref="G15:L15" si="0">SUM(G7:G14)</f>
        <v>2256.1</v>
      </c>
      <c r="H15" s="593">
        <f t="shared" si="0"/>
        <v>2256.1</v>
      </c>
      <c r="I15" s="594">
        <f>IF(ISERROR(ROUND((J15-F15)/F15,3)),0,(ROUND((J15-F15)/F15,3)))</f>
        <v>-1</v>
      </c>
      <c r="J15" s="593">
        <f t="shared" si="0"/>
        <v>0.48199999999999998</v>
      </c>
      <c r="K15" s="590">
        <f t="shared" si="0"/>
        <v>0.48199999999999998</v>
      </c>
      <c r="L15" s="591">
        <f t="shared" si="0"/>
        <v>0</v>
      </c>
    </row>
    <row r="16" spans="1:12" x14ac:dyDescent="0.25">
      <c r="A16" s="285" t="s">
        <v>797</v>
      </c>
      <c r="B16" s="583"/>
      <c r="C16" s="1454"/>
      <c r="D16" s="1454"/>
      <c r="E16" s="1455"/>
      <c r="F16" s="1456"/>
      <c r="G16" s="1454"/>
      <c r="H16" s="1457"/>
      <c r="I16" s="1458"/>
      <c r="J16" s="1457"/>
      <c r="K16" s="1454"/>
      <c r="L16" s="1455"/>
    </row>
    <row r="17" spans="1:12" x14ac:dyDescent="0.25">
      <c r="A17" s="282" t="s">
        <v>826</v>
      </c>
      <c r="B17" s="583"/>
      <c r="C17" s="590">
        <f>SUM(C15:C16)</f>
        <v>2057.3000000000002</v>
      </c>
      <c r="D17" s="590">
        <f>SUM(D15:D16)</f>
        <v>1726.6999999999998</v>
      </c>
      <c r="E17" s="591">
        <f>SUM(E15:E16)</f>
        <v>1805.04</v>
      </c>
      <c r="F17" s="592">
        <f>SUM(F15:F16)</f>
        <v>2256.1</v>
      </c>
      <c r="G17" s="590">
        <f t="shared" ref="G17:L17" si="1">SUM(G15:G16)</f>
        <v>2256.1</v>
      </c>
      <c r="H17" s="593">
        <f t="shared" si="1"/>
        <v>2256.1</v>
      </c>
      <c r="I17" s="594">
        <f>IF(ISERROR(ROUND((J17-F17)/F17,3)),0,(ROUND((J17-F17)/F17,3)))</f>
        <v>-1</v>
      </c>
      <c r="J17" s="593">
        <f t="shared" si="1"/>
        <v>0.48199999999999998</v>
      </c>
      <c r="K17" s="590">
        <f t="shared" si="1"/>
        <v>0.48199999999999998</v>
      </c>
      <c r="L17" s="591">
        <f t="shared" si="1"/>
        <v>0</v>
      </c>
    </row>
    <row r="18" spans="1:12" x14ac:dyDescent="0.25">
      <c r="A18" s="595" t="s">
        <v>134</v>
      </c>
      <c r="B18" s="583"/>
      <c r="C18" s="596"/>
      <c r="D18" s="597">
        <f>IF(ISERROR((D17/C17)-1),0,((D17/C17)-1))</f>
        <v>-0.16069605794001862</v>
      </c>
      <c r="E18" s="598">
        <f>IF(ISERROR((E17/D17)-1),0,((E17/D17)-1))</f>
        <v>4.5369780506167912E-2</v>
      </c>
      <c r="F18" s="599">
        <f>IF(ISERROR((F17/E17)-1),0,((F17/E17)-1))</f>
        <v>0.24988919913132124</v>
      </c>
      <c r="G18" s="597">
        <f>IF(ISERROR((G17/F17)-1),0,((G17/F17)-1))</f>
        <v>0</v>
      </c>
      <c r="H18" s="600">
        <f>IF(ISERROR((H17/G17)-1),0,((H17/G17)-1))</f>
        <v>0</v>
      </c>
      <c r="I18" s="601"/>
      <c r="J18" s="600">
        <f>IF(ISERROR((J17/H17)-1),0,((J17/H17)-1))</f>
        <v>-0.99978635698772222</v>
      </c>
      <c r="K18" s="597">
        <f>IF(ISERROR((K17/J17)-1),0,((K17/J17)-1))</f>
        <v>0</v>
      </c>
      <c r="L18" s="598">
        <f>IF(ISERROR((L17/K17)-1),0,((L17/K17)-1))</f>
        <v>-1</v>
      </c>
    </row>
    <row r="19" spans="1:12" ht="5.0999999999999996" customHeight="1" x14ac:dyDescent="0.25">
      <c r="A19" s="461"/>
      <c r="B19" s="583"/>
      <c r="C19" s="602"/>
      <c r="D19" s="602"/>
      <c r="E19" s="603"/>
      <c r="F19" s="604"/>
      <c r="G19" s="602"/>
      <c r="H19" s="605"/>
      <c r="I19" s="588"/>
      <c r="J19" s="605"/>
      <c r="K19" s="602"/>
      <c r="L19" s="603"/>
    </row>
    <row r="20" spans="1:12" ht="25.5" customHeight="1" x14ac:dyDescent="0.25">
      <c r="A20" s="606" t="s">
        <v>2205</v>
      </c>
      <c r="B20" s="607">
        <v>2</v>
      </c>
      <c r="C20" s="608"/>
      <c r="D20" s="608"/>
      <c r="E20" s="609"/>
      <c r="F20" s="610"/>
      <c r="G20" s="608"/>
      <c r="H20" s="611"/>
      <c r="I20" s="612"/>
      <c r="J20" s="611"/>
      <c r="K20" s="608"/>
      <c r="L20" s="609"/>
    </row>
    <row r="21" spans="1:12" ht="11.25" customHeight="1" x14ac:dyDescent="0.25">
      <c r="A21" s="282" t="str">
        <f>A6</f>
        <v>Rates and services charges:</v>
      </c>
      <c r="B21" s="583"/>
      <c r="C21" s="584"/>
      <c r="D21" s="584"/>
      <c r="E21" s="585"/>
      <c r="F21" s="586"/>
      <c r="G21" s="584"/>
      <c r="H21" s="587"/>
      <c r="I21" s="588"/>
      <c r="J21" s="587"/>
      <c r="K21" s="584"/>
      <c r="L21" s="585"/>
    </row>
    <row r="22" spans="1:12" ht="11.25" customHeight="1" x14ac:dyDescent="0.25">
      <c r="A22" s="285" t="str">
        <f t="shared" ref="A22:A31" si="2">A7</f>
        <v>Property rates</v>
      </c>
      <c r="B22" s="583"/>
      <c r="C22" s="1454">
        <v>187.85</v>
      </c>
      <c r="D22" s="1454">
        <v>139.44999999999999</v>
      </c>
      <c r="E22" s="1455">
        <v>147.80000000000001</v>
      </c>
      <c r="F22" s="1456">
        <v>156.69999999999999</v>
      </c>
      <c r="G22" s="1456">
        <v>156.69999999999999</v>
      </c>
      <c r="H22" s="1456">
        <v>156.69999999999999</v>
      </c>
      <c r="I22" s="1458">
        <v>0.06</v>
      </c>
      <c r="J22" s="1458">
        <v>0.06</v>
      </c>
      <c r="K22" s="1458">
        <v>0.06</v>
      </c>
      <c r="L22" s="1455"/>
    </row>
    <row r="23" spans="1:12" ht="11.25" customHeight="1" x14ac:dyDescent="0.25">
      <c r="A23" s="285" t="str">
        <f t="shared" si="2"/>
        <v>Electricity: Basic levy</v>
      </c>
      <c r="B23" s="583"/>
      <c r="C23" s="1454">
        <v>50</v>
      </c>
      <c r="D23" s="1454">
        <v>50</v>
      </c>
      <c r="E23" s="1454">
        <v>50</v>
      </c>
      <c r="F23" s="1456">
        <v>78.430000000000007</v>
      </c>
      <c r="G23" s="1456">
        <v>78.430000000000007</v>
      </c>
      <c r="H23" s="1456">
        <v>78.430000000000007</v>
      </c>
      <c r="I23" s="1458">
        <v>6.0999999999999999E-2</v>
      </c>
      <c r="J23" s="1458">
        <v>6.0999999999999999E-2</v>
      </c>
      <c r="K23" s="1458">
        <v>6.0999999999999999E-2</v>
      </c>
      <c r="L23" s="1455"/>
    </row>
    <row r="24" spans="1:12" ht="11.25" customHeight="1" x14ac:dyDescent="0.25">
      <c r="A24" s="285" t="str">
        <f t="shared" si="2"/>
        <v>Electricity: Consumption</v>
      </c>
      <c r="B24" s="583"/>
      <c r="C24" s="1454">
        <v>207.4</v>
      </c>
      <c r="D24" s="1454">
        <v>321.8</v>
      </c>
      <c r="E24" s="1455">
        <v>526.15</v>
      </c>
      <c r="F24" s="1456">
        <v>740.97</v>
      </c>
      <c r="G24" s="1456">
        <v>740.97</v>
      </c>
      <c r="H24" s="1456">
        <v>740.97</v>
      </c>
      <c r="I24" s="1458">
        <v>0.11</v>
      </c>
      <c r="J24" s="1458">
        <v>0.12</v>
      </c>
      <c r="K24" s="1458">
        <v>0.12</v>
      </c>
      <c r="L24" s="1455"/>
    </row>
    <row r="25" spans="1:12" ht="11.25" customHeight="1" x14ac:dyDescent="0.25">
      <c r="A25" s="285" t="str">
        <f t="shared" si="2"/>
        <v>Water: Basic levy</v>
      </c>
      <c r="B25" s="583"/>
      <c r="C25" s="1454">
        <v>32.75</v>
      </c>
      <c r="D25" s="1454">
        <v>32.75</v>
      </c>
      <c r="E25" s="1455">
        <v>32.700000000000003</v>
      </c>
      <c r="F25" s="1456">
        <v>34.700000000000003</v>
      </c>
      <c r="G25" s="1456">
        <v>34.700000000000003</v>
      </c>
      <c r="H25" s="1456">
        <v>34.700000000000003</v>
      </c>
      <c r="I25" s="1458">
        <v>6.0999999999999999E-2</v>
      </c>
      <c r="J25" s="1458">
        <v>6.0999999999999999E-2</v>
      </c>
      <c r="K25" s="1458">
        <v>6.0999999999999999E-2</v>
      </c>
      <c r="L25" s="1455"/>
    </row>
    <row r="26" spans="1:12" ht="11.25" customHeight="1" x14ac:dyDescent="0.25">
      <c r="A26" s="285" t="str">
        <f t="shared" si="2"/>
        <v>Water: Consumption</v>
      </c>
      <c r="B26" s="583"/>
      <c r="C26" s="1454">
        <v>52.95</v>
      </c>
      <c r="D26" s="1454">
        <v>44.45</v>
      </c>
      <c r="E26" s="1455">
        <v>57.2</v>
      </c>
      <c r="F26" s="1456">
        <v>45.75</v>
      </c>
      <c r="G26" s="1456">
        <v>45.75</v>
      </c>
      <c r="H26" s="1456">
        <v>45.75</v>
      </c>
      <c r="I26" s="1458">
        <v>0.06</v>
      </c>
      <c r="J26" s="1458">
        <v>0.06</v>
      </c>
      <c r="K26" s="1458">
        <v>0.06</v>
      </c>
      <c r="L26" s="1455"/>
    </row>
    <row r="27" spans="1:12" ht="11.25" customHeight="1" x14ac:dyDescent="0.25">
      <c r="A27" s="285" t="str">
        <f t="shared" si="2"/>
        <v>Sanitation</v>
      </c>
      <c r="B27" s="583"/>
      <c r="C27" s="1454">
        <v>68</v>
      </c>
      <c r="D27" s="1454">
        <v>72.45</v>
      </c>
      <c r="E27" s="1455">
        <v>76.8</v>
      </c>
      <c r="F27" s="1456">
        <v>81.400000000000006</v>
      </c>
      <c r="G27" s="1456">
        <v>81.400000000000006</v>
      </c>
      <c r="H27" s="1456">
        <v>81.400000000000006</v>
      </c>
      <c r="I27" s="1458">
        <v>0.06</v>
      </c>
      <c r="J27" s="1458">
        <v>0.06</v>
      </c>
      <c r="K27" s="1458">
        <v>0.06</v>
      </c>
      <c r="L27" s="1455"/>
    </row>
    <row r="28" spans="1:12" ht="11.25" customHeight="1" x14ac:dyDescent="0.25">
      <c r="A28" s="285" t="str">
        <f t="shared" si="2"/>
        <v>Refuse removal</v>
      </c>
      <c r="B28" s="583"/>
      <c r="C28" s="1454">
        <v>68</v>
      </c>
      <c r="D28" s="1454">
        <v>72.45</v>
      </c>
      <c r="E28" s="1455">
        <v>76.8</v>
      </c>
      <c r="F28" s="1456">
        <v>81.400000000000006</v>
      </c>
      <c r="G28" s="1456">
        <v>81.400000000000006</v>
      </c>
      <c r="H28" s="1456">
        <v>81.400000000000006</v>
      </c>
      <c r="I28" s="1458">
        <v>0.06</v>
      </c>
      <c r="J28" s="1458">
        <v>0.06</v>
      </c>
      <c r="K28" s="1458">
        <v>0.06</v>
      </c>
      <c r="L28" s="1455"/>
    </row>
    <row r="29" spans="1:12" ht="11.25" customHeight="1" x14ac:dyDescent="0.25">
      <c r="A29" s="285" t="str">
        <f t="shared" si="2"/>
        <v>Other</v>
      </c>
      <c r="B29" s="583"/>
      <c r="C29" s="1454"/>
      <c r="D29" s="1454"/>
      <c r="E29" s="1455"/>
      <c r="F29" s="1456"/>
      <c r="G29" s="1454"/>
      <c r="H29" s="1457"/>
      <c r="I29" s="1458"/>
      <c r="J29" s="1457"/>
      <c r="K29" s="1454"/>
      <c r="L29" s="1455"/>
    </row>
    <row r="30" spans="1:12" ht="11.25" customHeight="1" x14ac:dyDescent="0.25">
      <c r="A30" s="589" t="str">
        <f t="shared" si="2"/>
        <v>sub-total</v>
      </c>
      <c r="B30" s="613"/>
      <c r="C30" s="590">
        <f t="shared" ref="C30:H30" si="3">SUM(C22:C29)</f>
        <v>666.95</v>
      </c>
      <c r="D30" s="590">
        <f t="shared" si="3"/>
        <v>733.35000000000014</v>
      </c>
      <c r="E30" s="591">
        <f t="shared" si="3"/>
        <v>967.45</v>
      </c>
      <c r="F30" s="592">
        <f t="shared" si="3"/>
        <v>1219.3500000000004</v>
      </c>
      <c r="G30" s="590">
        <f t="shared" si="3"/>
        <v>1219.3500000000004</v>
      </c>
      <c r="H30" s="593">
        <f t="shared" si="3"/>
        <v>1219.3500000000004</v>
      </c>
      <c r="I30" s="594">
        <f>IF(ISERROR(ROUND((J30-F30)/F30,3)),0,(ROUND((J30-F30)/F30,3)))</f>
        <v>-1</v>
      </c>
      <c r="J30" s="593">
        <f>SUM(J22:J29)</f>
        <v>0.48199999999999998</v>
      </c>
      <c r="K30" s="590">
        <f>SUM(K22:K29)</f>
        <v>0.48199999999999998</v>
      </c>
      <c r="L30" s="591">
        <f>SUM(L22:L29)</f>
        <v>0</v>
      </c>
    </row>
    <row r="31" spans="1:12" ht="11.25" customHeight="1" x14ac:dyDescent="0.25">
      <c r="A31" s="285" t="str">
        <f t="shared" si="2"/>
        <v>VAT on Services</v>
      </c>
      <c r="B31" s="583"/>
      <c r="C31" s="1454"/>
      <c r="D31" s="1454"/>
      <c r="E31" s="1455"/>
      <c r="F31" s="1456"/>
      <c r="G31" s="1454"/>
      <c r="H31" s="1457"/>
      <c r="I31" s="1458"/>
      <c r="J31" s="1457"/>
      <c r="K31" s="1454"/>
      <c r="L31" s="1455"/>
    </row>
    <row r="32" spans="1:12" ht="11.25" customHeight="1" x14ac:dyDescent="0.25">
      <c r="A32" s="282" t="s">
        <v>827</v>
      </c>
      <c r="B32" s="583"/>
      <c r="C32" s="590">
        <f t="shared" ref="C32:H32" si="4">SUM(C30:C31)</f>
        <v>666.95</v>
      </c>
      <c r="D32" s="590">
        <f t="shared" si="4"/>
        <v>733.35000000000014</v>
      </c>
      <c r="E32" s="591">
        <f t="shared" si="4"/>
        <v>967.45</v>
      </c>
      <c r="F32" s="592">
        <f t="shared" si="4"/>
        <v>1219.3500000000004</v>
      </c>
      <c r="G32" s="590">
        <f t="shared" si="4"/>
        <v>1219.3500000000004</v>
      </c>
      <c r="H32" s="593">
        <f t="shared" si="4"/>
        <v>1219.3500000000004</v>
      </c>
      <c r="I32" s="594">
        <f>IF(ISERROR(ROUND((J32-F32)/F32,3)),0,(ROUND((J32-F32)/F32,3)))</f>
        <v>-1</v>
      </c>
      <c r="J32" s="593">
        <f>SUM(J30:J31)</f>
        <v>0.48199999999999998</v>
      </c>
      <c r="K32" s="590">
        <f>SUM(K30:K31)</f>
        <v>0.48199999999999998</v>
      </c>
      <c r="L32" s="591">
        <f>SUM(L30:L31)</f>
        <v>0</v>
      </c>
    </row>
    <row r="33" spans="1:15" ht="11.25" customHeight="1" x14ac:dyDescent="0.25">
      <c r="A33" s="595" t="s">
        <v>134</v>
      </c>
      <c r="B33" s="583"/>
      <c r="C33" s="596"/>
      <c r="D33" s="597">
        <f>IF(ISERROR((D32/C32)-1),0,((D32/C32)-1))</f>
        <v>9.9557687982607446E-2</v>
      </c>
      <c r="E33" s="598">
        <f>IF(ISERROR((E32/D32)-1),0,((E32/D32)-1))</f>
        <v>0.31922001772686959</v>
      </c>
      <c r="F33" s="599">
        <f>IF(ISERROR((F32/E32)-1),0,((F32/E32)-1))</f>
        <v>0.26037521318931245</v>
      </c>
      <c r="G33" s="597">
        <f>IF(ISERROR((G32/F32)-1),0,((G32/F32)-1))</f>
        <v>0</v>
      </c>
      <c r="H33" s="600">
        <f>IF(ISERROR((H32/G32)-1),0,((H32/G32)-1))</f>
        <v>0</v>
      </c>
      <c r="I33" s="601"/>
      <c r="J33" s="600">
        <f>IF(ISERROR((J32/H32)-1),0,((J32/H32)-1))</f>
        <v>-0.99960470742608765</v>
      </c>
      <c r="K33" s="597">
        <f>IF(ISERROR((K32/J32)-1),0,((K32/J32)-1))</f>
        <v>0</v>
      </c>
      <c r="L33" s="598">
        <f>IF(ISERROR((L32/K32)-1),0,((L32/K32)-1))</f>
        <v>-1</v>
      </c>
    </row>
    <row r="34" spans="1:15" ht="4.5" customHeight="1" x14ac:dyDescent="0.25">
      <c r="A34" s="461"/>
      <c r="B34" s="583"/>
      <c r="C34" s="602"/>
      <c r="D34" s="602"/>
      <c r="E34" s="603">
        <f>IF(ISERROR((E33/D33)-1),0,((E33/D33)-1))</f>
        <v>2.2063823919116801</v>
      </c>
      <c r="F34" s="604">
        <f>IF(ISERROR((F33/E33)-1),0,((F33/E33)-1))</f>
        <v>-0.18433933108764444</v>
      </c>
      <c r="G34" s="602">
        <f>IF(ISERROR((G33/F33)-1),0,((G33/F33)-1))</f>
        <v>-1</v>
      </c>
      <c r="H34" s="605">
        <f>IF(ISERROR((H33/G33)-1),0,((H33/G33)-1))</f>
        <v>0</v>
      </c>
      <c r="I34" s="588"/>
      <c r="J34" s="605"/>
      <c r="K34" s="602"/>
      <c r="L34" s="603"/>
    </row>
    <row r="35" spans="1:15" ht="25.5" customHeight="1" x14ac:dyDescent="0.25">
      <c r="A35" s="606" t="s">
        <v>2203</v>
      </c>
      <c r="B35" s="607">
        <v>3</v>
      </c>
      <c r="C35" s="608"/>
      <c r="D35" s="608"/>
      <c r="E35" s="609"/>
      <c r="F35" s="610"/>
      <c r="G35" s="608"/>
      <c r="H35" s="611"/>
      <c r="I35" s="612"/>
      <c r="J35" s="611"/>
      <c r="K35" s="608"/>
      <c r="L35" s="609"/>
    </row>
    <row r="36" spans="1:15" x14ac:dyDescent="0.25">
      <c r="A36" s="282" t="str">
        <f>A6</f>
        <v>Rates and services charges:</v>
      </c>
      <c r="B36" s="583"/>
      <c r="C36" s="584"/>
      <c r="D36" s="584"/>
      <c r="E36" s="585"/>
      <c r="F36" s="586"/>
      <c r="G36" s="584"/>
      <c r="H36" s="587"/>
      <c r="I36" s="588"/>
      <c r="J36" s="587"/>
      <c r="K36" s="584"/>
      <c r="L36" s="585"/>
    </row>
    <row r="37" spans="1:15" x14ac:dyDescent="0.25">
      <c r="A37" s="285" t="str">
        <f t="shared" ref="A37:A46" si="5">A7</f>
        <v>Property rates</v>
      </c>
      <c r="B37" s="583"/>
      <c r="C37" s="1454">
        <v>66.150000000000006</v>
      </c>
      <c r="D37" s="1454">
        <v>90.85</v>
      </c>
      <c r="E37" s="1455">
        <v>96.3</v>
      </c>
      <c r="F37" s="1456">
        <v>102.05</v>
      </c>
      <c r="G37" s="1456">
        <v>102.05</v>
      </c>
      <c r="H37" s="1456">
        <v>102.05</v>
      </c>
      <c r="I37" s="1458">
        <v>0.06</v>
      </c>
      <c r="J37" s="1458">
        <v>0.06</v>
      </c>
      <c r="K37" s="1458">
        <v>0.06</v>
      </c>
      <c r="L37" s="1455"/>
      <c r="O37" s="338"/>
    </row>
    <row r="38" spans="1:15" x14ac:dyDescent="0.25">
      <c r="A38" s="285" t="str">
        <f t="shared" si="5"/>
        <v>Electricity: Basic levy</v>
      </c>
      <c r="B38" s="583"/>
      <c r="C38" s="1454">
        <v>30</v>
      </c>
      <c r="D38" s="1454">
        <v>50</v>
      </c>
      <c r="E38" s="1455">
        <v>50</v>
      </c>
      <c r="F38" s="1456">
        <v>78.430000000000007</v>
      </c>
      <c r="G38" s="1456">
        <v>78.430000000000007</v>
      </c>
      <c r="H38" s="1456">
        <v>78.430000000000007</v>
      </c>
      <c r="I38" s="1458">
        <v>6.0999999999999999E-2</v>
      </c>
      <c r="J38" s="1458">
        <v>6.0999999999999999E-2</v>
      </c>
      <c r="K38" s="1458">
        <v>6.0999999999999999E-2</v>
      </c>
      <c r="L38" s="1455"/>
    </row>
    <row r="39" spans="1:15" x14ac:dyDescent="0.25">
      <c r="A39" s="285" t="str">
        <f t="shared" si="5"/>
        <v>Electricity: Consumption</v>
      </c>
      <c r="B39" s="583"/>
      <c r="C39" s="1454">
        <v>31.85</v>
      </c>
      <c r="D39" s="1454">
        <v>29.15</v>
      </c>
      <c r="E39" s="1455">
        <v>75.3</v>
      </c>
      <c r="F39" s="1456">
        <v>76.22</v>
      </c>
      <c r="G39" s="1456">
        <v>76.22</v>
      </c>
      <c r="H39" s="1456">
        <v>76.22</v>
      </c>
      <c r="I39" s="1458">
        <v>0.11</v>
      </c>
      <c r="J39" s="1458">
        <v>0.12</v>
      </c>
      <c r="K39" s="1458">
        <v>0.12</v>
      </c>
      <c r="L39" s="1455"/>
    </row>
    <row r="40" spans="1:15" x14ac:dyDescent="0.25">
      <c r="A40" s="285" t="str">
        <f t="shared" si="5"/>
        <v>Water: Basic levy</v>
      </c>
      <c r="B40" s="583"/>
      <c r="C40" s="1454">
        <v>32.75</v>
      </c>
      <c r="D40" s="1454">
        <v>32.75</v>
      </c>
      <c r="E40" s="1455">
        <v>32.700000000000003</v>
      </c>
      <c r="F40" s="1456">
        <v>34.700000000000003</v>
      </c>
      <c r="G40" s="1456">
        <v>34.700000000000003</v>
      </c>
      <c r="H40" s="1456">
        <v>34.700000000000003</v>
      </c>
      <c r="I40" s="1458">
        <v>6.0999999999999999E-2</v>
      </c>
      <c r="J40" s="1458">
        <v>6.0999999999999999E-2</v>
      </c>
      <c r="K40" s="1458">
        <v>6.0999999999999999E-2</v>
      </c>
      <c r="L40" s="1455"/>
    </row>
    <row r="41" spans="1:15" x14ac:dyDescent="0.25">
      <c r="A41" s="285" t="str">
        <f t="shared" si="5"/>
        <v>Water: Consumption</v>
      </c>
      <c r="B41" s="583"/>
      <c r="C41" s="1454">
        <v>7</v>
      </c>
      <c r="D41" s="1454">
        <v>9.5500000000000007</v>
      </c>
      <c r="E41" s="1455">
        <v>10.15</v>
      </c>
      <c r="F41" s="1456">
        <v>14.2</v>
      </c>
      <c r="G41" s="1456">
        <v>14.2</v>
      </c>
      <c r="H41" s="1456">
        <v>14.2</v>
      </c>
      <c r="I41" s="1458">
        <v>0.06</v>
      </c>
      <c r="J41" s="1458">
        <v>0.06</v>
      </c>
      <c r="K41" s="1458">
        <v>0.06</v>
      </c>
      <c r="L41" s="1455"/>
    </row>
    <row r="42" spans="1:15" x14ac:dyDescent="0.25">
      <c r="A42" s="285" t="str">
        <f t="shared" si="5"/>
        <v>Sanitation</v>
      </c>
      <c r="B42" s="583"/>
      <c r="C42" s="1454">
        <v>68</v>
      </c>
      <c r="D42" s="1454">
        <v>72.45</v>
      </c>
      <c r="E42" s="1455">
        <v>76.8</v>
      </c>
      <c r="F42" s="1456">
        <v>81.400000000000006</v>
      </c>
      <c r="G42" s="1456">
        <v>81.400000000000006</v>
      </c>
      <c r="H42" s="1456">
        <v>81.400000000000006</v>
      </c>
      <c r="I42" s="1458">
        <v>0.06</v>
      </c>
      <c r="J42" s="1458">
        <v>0.06</v>
      </c>
      <c r="K42" s="1458">
        <v>0.06</v>
      </c>
      <c r="L42" s="1455"/>
    </row>
    <row r="43" spans="1:15" x14ac:dyDescent="0.25">
      <c r="A43" s="285" t="str">
        <f t="shared" si="5"/>
        <v>Refuse removal</v>
      </c>
      <c r="B43" s="583"/>
      <c r="C43" s="1454">
        <v>68</v>
      </c>
      <c r="D43" s="1454">
        <v>72.45</v>
      </c>
      <c r="E43" s="1455">
        <v>76.8</v>
      </c>
      <c r="F43" s="1456">
        <v>81.400000000000006</v>
      </c>
      <c r="G43" s="1456">
        <v>81.400000000000006</v>
      </c>
      <c r="H43" s="1456">
        <v>81.400000000000006</v>
      </c>
      <c r="I43" s="1458">
        <v>0.06</v>
      </c>
      <c r="J43" s="1458">
        <v>0.06</v>
      </c>
      <c r="K43" s="1458">
        <v>0.06</v>
      </c>
      <c r="L43" s="1455"/>
    </row>
    <row r="44" spans="1:15" x14ac:dyDescent="0.25">
      <c r="A44" s="285" t="str">
        <f t="shared" si="5"/>
        <v>Other</v>
      </c>
      <c r="B44" s="583"/>
      <c r="C44" s="1454"/>
      <c r="D44" s="1454"/>
      <c r="E44" s="1455"/>
      <c r="F44" s="1456"/>
      <c r="G44" s="1454"/>
      <c r="H44" s="1457"/>
      <c r="I44" s="1458" t="str">
        <f t="shared" ref="I44:I46" si="6">IF(J44&gt;0,I13ROUND((J44-F44)/F44,3),"")</f>
        <v/>
      </c>
      <c r="J44" s="1457"/>
      <c r="K44" s="1454"/>
      <c r="L44" s="1455"/>
    </row>
    <row r="45" spans="1:15" x14ac:dyDescent="0.25">
      <c r="A45" s="589" t="str">
        <f t="shared" si="5"/>
        <v>sub-total</v>
      </c>
      <c r="B45" s="613"/>
      <c r="C45" s="590">
        <f>SUM(C37:C44)</f>
        <v>303.75</v>
      </c>
      <c r="D45" s="590">
        <f>SUM(D37:D44)</f>
        <v>357.2</v>
      </c>
      <c r="E45" s="591">
        <f>SUM(E37:E44)</f>
        <v>418.05</v>
      </c>
      <c r="F45" s="592">
        <f>SUM(F37:F44)</f>
        <v>468.4</v>
      </c>
      <c r="G45" s="590">
        <f t="shared" ref="G45:L45" si="7">SUM(G37:G44)</f>
        <v>468.4</v>
      </c>
      <c r="H45" s="593">
        <f t="shared" si="7"/>
        <v>468.4</v>
      </c>
      <c r="I45" s="594">
        <f>IF(ISERROR(ROUND((J45-F45)/F45,3)),0,(ROUND((J45-F45)/F45,3)))</f>
        <v>-0.999</v>
      </c>
      <c r="J45" s="593">
        <f t="shared" si="7"/>
        <v>0.48199999999999998</v>
      </c>
      <c r="K45" s="590">
        <f t="shared" si="7"/>
        <v>0.48199999999999998</v>
      </c>
      <c r="L45" s="591">
        <f t="shared" si="7"/>
        <v>0</v>
      </c>
    </row>
    <row r="46" spans="1:15" x14ac:dyDescent="0.25">
      <c r="A46" s="285" t="str">
        <f t="shared" si="5"/>
        <v>VAT on Services</v>
      </c>
      <c r="B46" s="583"/>
      <c r="C46" s="1454"/>
      <c r="D46" s="1454"/>
      <c r="E46" s="1455"/>
      <c r="F46" s="1456"/>
      <c r="G46" s="1454"/>
      <c r="H46" s="1457"/>
      <c r="I46" s="1458" t="str">
        <f t="shared" si="6"/>
        <v/>
      </c>
      <c r="J46" s="1457"/>
      <c r="K46" s="1454"/>
      <c r="L46" s="1455"/>
    </row>
    <row r="47" spans="1:15" x14ac:dyDescent="0.25">
      <c r="A47" s="282" t="s">
        <v>827</v>
      </c>
      <c r="B47" s="583"/>
      <c r="C47" s="590">
        <f>SUM(C45:C46)</f>
        <v>303.75</v>
      </c>
      <c r="D47" s="590">
        <f>SUM(D45:D46)</f>
        <v>357.2</v>
      </c>
      <c r="E47" s="591">
        <f>SUM(E45:E46)</f>
        <v>418.05</v>
      </c>
      <c r="F47" s="592">
        <f>SUM(F45:F46)</f>
        <v>468.4</v>
      </c>
      <c r="G47" s="590">
        <f t="shared" ref="G47:L47" si="8">SUM(G45:G46)</f>
        <v>468.4</v>
      </c>
      <c r="H47" s="593">
        <f t="shared" si="8"/>
        <v>468.4</v>
      </c>
      <c r="I47" s="594">
        <f>IF(ISERROR(ROUND((J47-F47)/F47,3)),0,(ROUND((J47-F47)/F47,3)))</f>
        <v>-0.999</v>
      </c>
      <c r="J47" s="593">
        <f t="shared" si="8"/>
        <v>0.48199999999999998</v>
      </c>
      <c r="K47" s="590">
        <f t="shared" si="8"/>
        <v>0.48199999999999998</v>
      </c>
      <c r="L47" s="591">
        <f t="shared" si="8"/>
        <v>0</v>
      </c>
    </row>
    <row r="48" spans="1:15" x14ac:dyDescent="0.25">
      <c r="A48" s="595" t="str">
        <f>A18</f>
        <v>% increase/-decrease</v>
      </c>
      <c r="B48" s="583"/>
      <c r="C48" s="596"/>
      <c r="D48" s="597">
        <f>IF(ISERROR((D47/C47)-1),0,((D47/C47)-1))</f>
        <v>0.17596707818930035</v>
      </c>
      <c r="E48" s="598">
        <f>IF(ISERROR((E47/D47)-1),0,((E47/D47)-1))</f>
        <v>0.17035274356103036</v>
      </c>
      <c r="F48" s="599">
        <f>IF(ISERROR((F47/E47)-1),0,((F47/E47)-1))</f>
        <v>0.12044013873938519</v>
      </c>
      <c r="G48" s="597">
        <f>IF(ISERROR((G47/F47)-1),0,((G47/F47)-1))</f>
        <v>0</v>
      </c>
      <c r="H48" s="600">
        <f>IF(ISERROR((H47/G47)-1),0,((H47/G47)-1))</f>
        <v>0</v>
      </c>
      <c r="I48" s="601"/>
      <c r="J48" s="600">
        <f>IF(ISERROR((J47/H47)-1),0,((J47/H47)-1))</f>
        <v>-0.9989709649871904</v>
      </c>
      <c r="K48" s="597">
        <f>IF(ISERROR((K47/J47)-1),0,((K47/J47)-1))</f>
        <v>0</v>
      </c>
      <c r="L48" s="598">
        <f>IF(ISERROR((L47/K47)-1),0,((L47/K47)-1))</f>
        <v>-1</v>
      </c>
    </row>
    <row r="49" spans="1:40" ht="5.0999999999999996" customHeight="1" x14ac:dyDescent="0.25">
      <c r="A49" s="614"/>
      <c r="B49" s="615"/>
      <c r="C49" s="615"/>
      <c r="D49" s="615"/>
      <c r="E49" s="616"/>
      <c r="F49" s="617"/>
      <c r="G49" s="615"/>
      <c r="H49" s="618"/>
      <c r="I49" s="619"/>
      <c r="J49" s="618"/>
      <c r="K49" s="615"/>
      <c r="L49" s="616"/>
    </row>
    <row r="50" spans="1:40" s="625" customFormat="1" x14ac:dyDescent="0.25">
      <c r="A50" s="930" t="str">
        <f>head27a</f>
        <v>References</v>
      </c>
      <c r="B50" s="845"/>
      <c r="C50" s="624"/>
      <c r="D50" s="624"/>
      <c r="E50" s="624"/>
      <c r="F50" s="864"/>
      <c r="G50" s="624"/>
      <c r="H50" s="624"/>
      <c r="I50" s="624"/>
      <c r="J50" s="624"/>
      <c r="K50" s="624"/>
    </row>
    <row r="51" spans="1:40" s="625" customFormat="1" x14ac:dyDescent="0.25">
      <c r="A51" s="1136" t="s">
        <v>2206</v>
      </c>
      <c r="B51" s="865"/>
      <c r="C51" s="866"/>
      <c r="D51" s="866"/>
      <c r="E51" s="866"/>
      <c r="F51" s="866"/>
      <c r="G51" s="866"/>
      <c r="H51" s="866"/>
      <c r="I51" s="866"/>
      <c r="J51" s="866"/>
      <c r="K51" s="866"/>
      <c r="L51" s="866"/>
      <c r="M51" s="866"/>
      <c r="N51" s="866"/>
      <c r="O51" s="866"/>
      <c r="P51" s="866"/>
      <c r="Q51" s="866"/>
      <c r="R51" s="866"/>
      <c r="S51" s="866"/>
      <c r="T51" s="866"/>
      <c r="U51" s="866"/>
      <c r="V51" s="866"/>
      <c r="W51" s="866"/>
      <c r="X51" s="866"/>
      <c r="Y51" s="866"/>
      <c r="Z51" s="866"/>
      <c r="AA51" s="866"/>
      <c r="AB51" s="866"/>
      <c r="AC51" s="866"/>
      <c r="AD51" s="866"/>
      <c r="AE51" s="866"/>
      <c r="AF51" s="866"/>
      <c r="AG51" s="866"/>
      <c r="AH51" s="866"/>
      <c r="AI51" s="866"/>
      <c r="AJ51" s="866"/>
      <c r="AK51" s="866"/>
      <c r="AL51" s="866"/>
      <c r="AM51" s="866"/>
      <c r="AN51" s="866"/>
    </row>
    <row r="52" spans="1:40" s="625" customFormat="1" x14ac:dyDescent="0.25">
      <c r="A52" s="1136" t="s">
        <v>2207</v>
      </c>
      <c r="B52" s="865"/>
      <c r="C52" s="866"/>
      <c r="D52" s="866"/>
      <c r="E52" s="866"/>
      <c r="F52" s="866"/>
      <c r="G52" s="866"/>
      <c r="H52" s="866"/>
      <c r="I52" s="866"/>
      <c r="J52" s="866"/>
      <c r="K52" s="866"/>
      <c r="L52" s="866"/>
      <c r="M52" s="866"/>
      <c r="N52" s="866"/>
      <c r="O52" s="866"/>
      <c r="P52" s="866"/>
      <c r="Q52" s="866"/>
      <c r="R52" s="866"/>
      <c r="S52" s="866"/>
      <c r="T52" s="866"/>
      <c r="U52" s="866"/>
      <c r="V52" s="866"/>
      <c r="W52" s="866"/>
      <c r="X52" s="866"/>
      <c r="Y52" s="866"/>
      <c r="Z52" s="866"/>
      <c r="AA52" s="866"/>
      <c r="AB52" s="866"/>
      <c r="AC52" s="866"/>
      <c r="AD52" s="866"/>
      <c r="AE52" s="866"/>
      <c r="AF52" s="866"/>
      <c r="AG52" s="866"/>
      <c r="AH52" s="866"/>
      <c r="AI52" s="866"/>
      <c r="AJ52" s="866"/>
      <c r="AK52" s="866"/>
      <c r="AL52" s="866"/>
      <c r="AM52" s="866"/>
      <c r="AN52" s="866"/>
    </row>
    <row r="53" spans="1:40" s="625" customFormat="1" x14ac:dyDescent="0.25">
      <c r="A53" s="1136" t="s">
        <v>2246</v>
      </c>
      <c r="B53" s="865"/>
      <c r="C53" s="866"/>
      <c r="D53" s="866"/>
      <c r="E53" s="866"/>
      <c r="F53" s="866"/>
      <c r="G53" s="866"/>
      <c r="H53" s="866"/>
      <c r="I53" s="866"/>
      <c r="J53" s="866"/>
      <c r="K53" s="866"/>
      <c r="L53" s="866"/>
      <c r="M53" s="866"/>
      <c r="N53" s="866"/>
      <c r="O53" s="866"/>
      <c r="P53" s="866"/>
      <c r="Q53" s="866"/>
      <c r="R53" s="866"/>
      <c r="S53" s="866"/>
      <c r="T53" s="866"/>
      <c r="U53" s="866"/>
      <c r="V53" s="866"/>
      <c r="W53" s="866"/>
      <c r="X53" s="866"/>
      <c r="Y53" s="866"/>
      <c r="Z53" s="866"/>
      <c r="AA53" s="866"/>
      <c r="AB53" s="866"/>
      <c r="AC53" s="866"/>
      <c r="AD53" s="866"/>
      <c r="AE53" s="866"/>
      <c r="AF53" s="866"/>
      <c r="AG53" s="866"/>
      <c r="AH53" s="866"/>
      <c r="AI53" s="866"/>
      <c r="AJ53" s="866"/>
      <c r="AK53" s="866"/>
      <c r="AL53" s="866"/>
      <c r="AM53" s="866"/>
      <c r="AN53" s="866"/>
    </row>
    <row r="55" spans="1:40" x14ac:dyDescent="0.25">
      <c r="A55" s="623"/>
      <c r="B55" s="620"/>
      <c r="C55" s="621"/>
      <c r="D55" s="621"/>
      <c r="E55" s="621"/>
      <c r="F55" s="622"/>
      <c r="G55" s="621"/>
      <c r="H55" s="621"/>
      <c r="I55" s="621"/>
      <c r="J55" s="621"/>
      <c r="K55" s="624"/>
      <c r="L55" s="625"/>
      <c r="M55" s="625"/>
      <c r="N55" s="625"/>
      <c r="O55" s="625"/>
      <c r="P55" s="625"/>
      <c r="Q55" s="625"/>
      <c r="R55" s="625"/>
      <c r="S55" s="625"/>
      <c r="T55" s="625"/>
      <c r="U55" s="625"/>
      <c r="V55" s="625"/>
      <c r="W55" s="625"/>
      <c r="X55" s="625"/>
      <c r="Y55" s="625"/>
      <c r="Z55" s="625"/>
      <c r="AA55" s="625"/>
      <c r="AB55" s="625"/>
      <c r="AC55" s="625"/>
      <c r="AD55" s="625"/>
      <c r="AE55" s="625"/>
      <c r="AF55" s="625"/>
      <c r="AG55" s="625"/>
      <c r="AH55" s="625"/>
      <c r="AI55" s="625"/>
      <c r="AJ55" s="625"/>
      <c r="AK55" s="625"/>
      <c r="AL55" s="625"/>
      <c r="AM55" s="625"/>
      <c r="AN55" s="625"/>
    </row>
    <row r="56" spans="1:40" x14ac:dyDescent="0.25">
      <c r="A56" s="623"/>
      <c r="B56" s="620"/>
      <c r="C56" s="621"/>
      <c r="D56" s="621"/>
      <c r="E56" s="621"/>
      <c r="F56" s="622"/>
      <c r="G56" s="621"/>
      <c r="H56" s="621"/>
      <c r="I56" s="621"/>
      <c r="J56" s="621"/>
      <c r="K56" s="624"/>
      <c r="L56" s="625"/>
      <c r="M56" s="625"/>
      <c r="N56" s="625"/>
      <c r="O56" s="625"/>
      <c r="P56" s="625"/>
      <c r="Q56" s="625"/>
      <c r="R56" s="625"/>
      <c r="S56" s="625"/>
      <c r="T56" s="625"/>
      <c r="U56" s="625"/>
      <c r="V56" s="625"/>
      <c r="W56" s="625"/>
      <c r="X56" s="625"/>
      <c r="Y56" s="625"/>
      <c r="Z56" s="625"/>
      <c r="AA56" s="625"/>
      <c r="AB56" s="625"/>
      <c r="AC56" s="625"/>
      <c r="AD56" s="625"/>
      <c r="AE56" s="625"/>
      <c r="AF56" s="625"/>
      <c r="AG56" s="625"/>
      <c r="AH56" s="625"/>
      <c r="AI56" s="625"/>
      <c r="AJ56" s="625"/>
      <c r="AK56" s="625"/>
      <c r="AL56" s="625"/>
      <c r="AM56" s="625"/>
      <c r="AN56" s="625"/>
    </row>
    <row r="57" spans="1:40" x14ac:dyDescent="0.25">
      <c r="A57" s="623"/>
      <c r="B57" s="620"/>
      <c r="C57" s="621"/>
      <c r="D57" s="621"/>
      <c r="E57" s="621"/>
      <c r="F57" s="622"/>
      <c r="G57" s="621"/>
      <c r="H57" s="621"/>
      <c r="I57" s="621"/>
      <c r="J57" s="621"/>
      <c r="K57" s="624"/>
      <c r="L57" s="625"/>
      <c r="M57" s="625"/>
      <c r="N57" s="625"/>
      <c r="O57" s="625"/>
      <c r="P57" s="625"/>
      <c r="Q57" s="625"/>
      <c r="R57" s="625"/>
      <c r="S57" s="625"/>
      <c r="T57" s="625"/>
      <c r="U57" s="625"/>
      <c r="V57" s="625"/>
      <c r="W57" s="625"/>
      <c r="X57" s="625"/>
      <c r="Y57" s="625"/>
      <c r="Z57" s="625"/>
      <c r="AA57" s="625"/>
      <c r="AB57" s="625"/>
      <c r="AC57" s="625"/>
      <c r="AD57" s="625"/>
      <c r="AE57" s="625"/>
      <c r="AF57" s="625"/>
      <c r="AG57" s="625"/>
      <c r="AH57" s="625"/>
      <c r="AI57" s="625"/>
      <c r="AJ57" s="625"/>
      <c r="AK57" s="625"/>
      <c r="AL57" s="625"/>
      <c r="AM57" s="625"/>
      <c r="AN57" s="625"/>
    </row>
    <row r="58" spans="1:40" x14ac:dyDescent="0.25">
      <c r="K58" s="624"/>
      <c r="L58" s="625"/>
      <c r="M58" s="625"/>
      <c r="N58" s="625"/>
      <c r="O58" s="625"/>
      <c r="P58" s="625"/>
      <c r="Q58" s="625"/>
      <c r="R58" s="625"/>
      <c r="S58" s="625"/>
      <c r="T58" s="625"/>
      <c r="U58" s="625"/>
      <c r="V58" s="625"/>
      <c r="W58" s="625"/>
      <c r="X58" s="625"/>
      <c r="Y58" s="625"/>
      <c r="Z58" s="625"/>
      <c r="AA58" s="625"/>
      <c r="AB58" s="625"/>
      <c r="AC58" s="625"/>
      <c r="AD58" s="625"/>
      <c r="AE58" s="625"/>
      <c r="AF58" s="625"/>
      <c r="AG58" s="625"/>
      <c r="AH58" s="625"/>
      <c r="AI58" s="625"/>
      <c r="AJ58" s="625"/>
      <c r="AK58" s="625"/>
      <c r="AL58" s="625"/>
      <c r="AM58" s="625"/>
      <c r="AN58" s="625"/>
    </row>
    <row r="59" spans="1:40" x14ac:dyDescent="0.25">
      <c r="K59" s="624"/>
      <c r="L59" s="625"/>
      <c r="M59" s="625"/>
      <c r="N59" s="625"/>
      <c r="O59" s="625"/>
      <c r="P59" s="625"/>
      <c r="Q59" s="625"/>
      <c r="R59" s="625"/>
      <c r="S59" s="625"/>
      <c r="T59" s="625"/>
      <c r="U59" s="625"/>
      <c r="V59" s="625"/>
      <c r="W59" s="625"/>
      <c r="X59" s="625"/>
      <c r="Y59" s="625"/>
      <c r="Z59" s="625"/>
      <c r="AA59" s="625"/>
      <c r="AB59" s="625"/>
      <c r="AC59" s="625"/>
      <c r="AD59" s="625"/>
      <c r="AE59" s="625"/>
      <c r="AF59" s="625"/>
      <c r="AG59" s="625"/>
      <c r="AH59" s="625"/>
      <c r="AI59" s="625"/>
      <c r="AJ59" s="625"/>
      <c r="AK59" s="625"/>
      <c r="AL59" s="625"/>
      <c r="AM59" s="625"/>
      <c r="AN59" s="625"/>
    </row>
    <row r="60" spans="1:40" x14ac:dyDescent="0.25">
      <c r="K60" s="624"/>
      <c r="L60" s="625"/>
      <c r="M60" s="625"/>
      <c r="N60" s="625"/>
      <c r="O60" s="625"/>
      <c r="P60" s="625"/>
      <c r="Q60" s="625"/>
      <c r="R60" s="625"/>
      <c r="S60" s="625"/>
      <c r="T60" s="625"/>
      <c r="U60" s="625"/>
      <c r="V60" s="625"/>
      <c r="W60" s="625"/>
      <c r="X60" s="625"/>
      <c r="Y60" s="625"/>
      <c r="Z60" s="625"/>
      <c r="AA60" s="625"/>
      <c r="AB60" s="625"/>
      <c r="AC60" s="625"/>
      <c r="AD60" s="625"/>
      <c r="AE60" s="625"/>
      <c r="AF60" s="625"/>
      <c r="AG60" s="625"/>
      <c r="AH60" s="625"/>
      <c r="AI60" s="625"/>
      <c r="AJ60" s="625"/>
      <c r="AK60" s="625"/>
      <c r="AL60" s="625"/>
      <c r="AM60" s="625"/>
      <c r="AN60" s="625"/>
    </row>
    <row r="61" spans="1:40" x14ac:dyDescent="0.25">
      <c r="K61" s="624"/>
      <c r="L61" s="625"/>
      <c r="M61" s="625"/>
      <c r="N61" s="625"/>
      <c r="O61" s="625"/>
      <c r="P61" s="625"/>
      <c r="Q61" s="625"/>
      <c r="R61" s="625"/>
      <c r="S61" s="625"/>
      <c r="T61" s="625"/>
      <c r="U61" s="625"/>
      <c r="V61" s="625"/>
      <c r="W61" s="625"/>
      <c r="X61" s="625"/>
      <c r="Y61" s="625"/>
      <c r="Z61" s="625"/>
      <c r="AA61" s="625"/>
      <c r="AB61" s="625"/>
      <c r="AC61" s="625"/>
      <c r="AD61" s="625"/>
      <c r="AE61" s="625"/>
      <c r="AF61" s="625"/>
      <c r="AG61" s="625"/>
      <c r="AH61" s="625"/>
      <c r="AI61" s="625"/>
      <c r="AJ61" s="625"/>
      <c r="AK61" s="625"/>
      <c r="AL61" s="625"/>
      <c r="AM61" s="625"/>
      <c r="AN61" s="625"/>
    </row>
    <row r="62" spans="1:40" x14ac:dyDescent="0.25">
      <c r="K62" s="624"/>
      <c r="L62" s="625"/>
      <c r="M62" s="625"/>
      <c r="N62" s="625"/>
      <c r="O62" s="625"/>
      <c r="P62" s="625"/>
      <c r="Q62" s="625"/>
      <c r="R62" s="625"/>
      <c r="S62" s="625"/>
      <c r="T62" s="625"/>
      <c r="U62" s="625"/>
      <c r="V62" s="625"/>
      <c r="W62" s="625"/>
      <c r="X62" s="625"/>
      <c r="Y62" s="625"/>
      <c r="Z62" s="625"/>
      <c r="AA62" s="625"/>
      <c r="AB62" s="625"/>
      <c r="AC62" s="625"/>
      <c r="AD62" s="625"/>
      <c r="AE62" s="625"/>
      <c r="AF62" s="625"/>
      <c r="AG62" s="625"/>
      <c r="AH62" s="625"/>
      <c r="AI62" s="625"/>
      <c r="AJ62" s="625"/>
      <c r="AK62" s="625"/>
      <c r="AL62" s="625"/>
      <c r="AM62" s="625"/>
      <c r="AN62" s="625"/>
    </row>
    <row r="63" spans="1:40" x14ac:dyDescent="0.25">
      <c r="K63" s="624"/>
      <c r="L63" s="625"/>
      <c r="M63" s="625"/>
      <c r="N63" s="625"/>
      <c r="O63" s="625"/>
      <c r="P63" s="625"/>
      <c r="Q63" s="625"/>
      <c r="R63" s="625"/>
      <c r="S63" s="625"/>
      <c r="T63" s="625"/>
      <c r="U63" s="625"/>
      <c r="V63" s="625"/>
      <c r="W63" s="625"/>
      <c r="X63" s="625"/>
      <c r="Y63" s="625"/>
      <c r="Z63" s="625"/>
      <c r="AA63" s="625"/>
      <c r="AB63" s="625"/>
      <c r="AC63" s="625"/>
      <c r="AD63" s="625"/>
      <c r="AE63" s="625"/>
      <c r="AF63" s="625"/>
      <c r="AG63" s="625"/>
      <c r="AH63" s="625"/>
      <c r="AI63" s="625"/>
      <c r="AJ63" s="625"/>
      <c r="AK63" s="625"/>
      <c r="AL63" s="625"/>
      <c r="AM63" s="625"/>
      <c r="AN63" s="625"/>
    </row>
    <row r="64" spans="1:40" x14ac:dyDescent="0.25">
      <c r="K64" s="624"/>
      <c r="L64" s="625"/>
      <c r="M64" s="625"/>
      <c r="N64" s="625"/>
      <c r="O64" s="625"/>
      <c r="P64" s="625"/>
      <c r="Q64" s="625"/>
      <c r="R64" s="625"/>
      <c r="S64" s="625"/>
      <c r="T64" s="625"/>
      <c r="U64" s="625"/>
      <c r="V64" s="625"/>
      <c r="W64" s="625"/>
      <c r="X64" s="625"/>
      <c r="Y64" s="625"/>
      <c r="Z64" s="625"/>
      <c r="AA64" s="625"/>
      <c r="AB64" s="625"/>
      <c r="AC64" s="625"/>
      <c r="AD64" s="625"/>
      <c r="AE64" s="625"/>
      <c r="AF64" s="625"/>
      <c r="AG64" s="625"/>
      <c r="AH64" s="625"/>
      <c r="AI64" s="625"/>
      <c r="AJ64" s="625"/>
      <c r="AK64" s="625"/>
      <c r="AL64" s="625"/>
      <c r="AM64" s="625"/>
      <c r="AN64" s="625"/>
    </row>
    <row r="65" spans="11:40" x14ac:dyDescent="0.25">
      <c r="K65" s="624"/>
      <c r="L65" s="625"/>
      <c r="M65" s="625"/>
      <c r="N65" s="625"/>
      <c r="O65" s="625"/>
      <c r="P65" s="625"/>
      <c r="Q65" s="625"/>
      <c r="R65" s="625"/>
      <c r="S65" s="625"/>
      <c r="T65" s="625"/>
      <c r="U65" s="625"/>
      <c r="V65" s="625"/>
      <c r="W65" s="625"/>
      <c r="X65" s="625"/>
      <c r="Y65" s="625"/>
      <c r="Z65" s="625"/>
      <c r="AA65" s="625"/>
      <c r="AB65" s="625"/>
      <c r="AC65" s="625"/>
      <c r="AD65" s="625"/>
      <c r="AE65" s="625"/>
      <c r="AF65" s="625"/>
      <c r="AG65" s="625"/>
      <c r="AH65" s="625"/>
      <c r="AI65" s="625"/>
      <c r="AJ65" s="625"/>
      <c r="AK65" s="625"/>
      <c r="AL65" s="625"/>
      <c r="AM65" s="625"/>
      <c r="AN65" s="625"/>
    </row>
    <row r="66" spans="11:40" x14ac:dyDescent="0.25">
      <c r="K66" s="624"/>
      <c r="L66" s="625"/>
      <c r="M66" s="625"/>
      <c r="N66" s="625"/>
      <c r="O66" s="625"/>
      <c r="P66" s="625"/>
      <c r="Q66" s="625"/>
      <c r="R66" s="625"/>
      <c r="S66" s="625"/>
      <c r="T66" s="625"/>
      <c r="U66" s="625"/>
      <c r="V66" s="625"/>
      <c r="W66" s="625"/>
      <c r="X66" s="625"/>
      <c r="Y66" s="625"/>
      <c r="Z66" s="625"/>
      <c r="AA66" s="625"/>
      <c r="AB66" s="625"/>
      <c r="AC66" s="625"/>
      <c r="AD66" s="625"/>
      <c r="AE66" s="625"/>
      <c r="AF66" s="625"/>
      <c r="AG66" s="625"/>
      <c r="AH66" s="625"/>
      <c r="AI66" s="625"/>
      <c r="AJ66" s="625"/>
      <c r="AK66" s="625"/>
      <c r="AL66" s="625"/>
      <c r="AM66" s="625"/>
      <c r="AN66" s="625"/>
    </row>
    <row r="67" spans="11:40" x14ac:dyDescent="0.25">
      <c r="K67" s="624"/>
      <c r="L67" s="625"/>
      <c r="M67" s="625"/>
      <c r="N67" s="625"/>
      <c r="O67" s="625"/>
      <c r="P67" s="625"/>
      <c r="Q67" s="625"/>
      <c r="R67" s="625"/>
      <c r="S67" s="625"/>
      <c r="T67" s="625"/>
      <c r="U67" s="625"/>
      <c r="V67" s="625"/>
      <c r="W67" s="625"/>
      <c r="X67" s="625"/>
      <c r="Y67" s="625"/>
      <c r="Z67" s="625"/>
      <c r="AA67" s="625"/>
      <c r="AB67" s="625"/>
      <c r="AC67" s="625"/>
      <c r="AD67" s="625"/>
      <c r="AE67" s="625"/>
      <c r="AF67" s="625"/>
      <c r="AG67" s="625"/>
      <c r="AH67" s="625"/>
      <c r="AI67" s="625"/>
      <c r="AJ67" s="625"/>
      <c r="AK67" s="625"/>
      <c r="AL67" s="625"/>
      <c r="AM67" s="625"/>
      <c r="AN67" s="625"/>
    </row>
    <row r="68" spans="11:40" x14ac:dyDescent="0.25">
      <c r="K68" s="624"/>
      <c r="L68" s="625"/>
      <c r="M68" s="625"/>
      <c r="N68" s="625"/>
      <c r="O68" s="625"/>
      <c r="P68" s="625"/>
      <c r="Q68" s="625"/>
      <c r="R68" s="625"/>
      <c r="S68" s="625"/>
      <c r="T68" s="625"/>
      <c r="U68" s="625"/>
      <c r="V68" s="625"/>
      <c r="W68" s="625"/>
      <c r="X68" s="625"/>
      <c r="Y68" s="625"/>
      <c r="Z68" s="625"/>
      <c r="AA68" s="625"/>
      <c r="AB68" s="625"/>
      <c r="AC68" s="625"/>
      <c r="AD68" s="625"/>
      <c r="AE68" s="625"/>
      <c r="AF68" s="625"/>
      <c r="AG68" s="625"/>
      <c r="AH68" s="625"/>
      <c r="AI68" s="625"/>
      <c r="AJ68" s="625"/>
      <c r="AK68" s="625"/>
      <c r="AL68" s="625"/>
      <c r="AM68" s="625"/>
      <c r="AN68" s="625"/>
    </row>
    <row r="69" spans="11:40" x14ac:dyDescent="0.25">
      <c r="K69" s="624"/>
      <c r="L69" s="625"/>
      <c r="M69" s="625"/>
      <c r="N69" s="625"/>
      <c r="O69" s="625"/>
      <c r="P69" s="625"/>
      <c r="Q69" s="625"/>
      <c r="R69" s="625"/>
      <c r="S69" s="625"/>
      <c r="T69" s="625"/>
      <c r="U69" s="625"/>
      <c r="V69" s="625"/>
      <c r="W69" s="625"/>
      <c r="X69" s="625"/>
      <c r="Y69" s="625"/>
      <c r="Z69" s="625"/>
      <c r="AA69" s="625"/>
      <c r="AB69" s="625"/>
      <c r="AC69" s="625"/>
      <c r="AD69" s="625"/>
      <c r="AE69" s="625"/>
      <c r="AF69" s="625"/>
      <c r="AG69" s="625"/>
      <c r="AH69" s="625"/>
      <c r="AI69" s="625"/>
      <c r="AJ69" s="625"/>
      <c r="AK69" s="625"/>
      <c r="AL69" s="625"/>
      <c r="AM69" s="625"/>
      <c r="AN69" s="625"/>
    </row>
    <row r="70" spans="11:40" x14ac:dyDescent="0.25">
      <c r="K70" s="624"/>
      <c r="L70" s="625"/>
      <c r="M70" s="625"/>
      <c r="N70" s="625"/>
      <c r="O70" s="625"/>
      <c r="P70" s="625"/>
      <c r="Q70" s="625"/>
      <c r="R70" s="625"/>
      <c r="S70" s="625"/>
      <c r="T70" s="625"/>
      <c r="U70" s="625"/>
      <c r="V70" s="625"/>
      <c r="W70" s="625"/>
      <c r="X70" s="625"/>
      <c r="Y70" s="625"/>
      <c r="Z70" s="625"/>
      <c r="AA70" s="625"/>
      <c r="AB70" s="625"/>
      <c r="AC70" s="625"/>
      <c r="AD70" s="625"/>
      <c r="AE70" s="625"/>
      <c r="AF70" s="625"/>
      <c r="AG70" s="625"/>
      <c r="AH70" s="625"/>
      <c r="AI70" s="625"/>
      <c r="AJ70" s="625"/>
      <c r="AK70" s="625"/>
      <c r="AL70" s="625"/>
      <c r="AM70" s="625"/>
      <c r="AN70" s="625"/>
    </row>
    <row r="71" spans="11:40" x14ac:dyDescent="0.25">
      <c r="K71" s="624"/>
      <c r="L71" s="625"/>
      <c r="M71" s="625"/>
      <c r="N71" s="625"/>
      <c r="O71" s="625"/>
      <c r="P71" s="625"/>
      <c r="Q71" s="625"/>
      <c r="R71" s="625"/>
      <c r="S71" s="625"/>
      <c r="T71" s="625"/>
      <c r="U71" s="625"/>
      <c r="V71" s="625"/>
      <c r="W71" s="625"/>
      <c r="X71" s="625"/>
      <c r="Y71" s="625"/>
      <c r="Z71" s="625"/>
      <c r="AA71" s="625"/>
      <c r="AB71" s="625"/>
      <c r="AC71" s="625"/>
      <c r="AD71" s="625"/>
      <c r="AE71" s="625"/>
      <c r="AF71" s="625"/>
      <c r="AG71" s="625"/>
      <c r="AH71" s="625"/>
      <c r="AI71" s="625"/>
      <c r="AJ71" s="625"/>
      <c r="AK71" s="625"/>
      <c r="AL71" s="625"/>
      <c r="AM71" s="625"/>
      <c r="AN71" s="625"/>
    </row>
    <row r="72" spans="11:40" x14ac:dyDescent="0.25">
      <c r="K72" s="624"/>
      <c r="L72" s="625"/>
      <c r="M72" s="625"/>
      <c r="N72" s="625"/>
      <c r="O72" s="625"/>
      <c r="P72" s="625"/>
      <c r="Q72" s="625"/>
      <c r="R72" s="625"/>
      <c r="S72" s="625"/>
      <c r="T72" s="625"/>
      <c r="U72" s="625"/>
      <c r="V72" s="625"/>
      <c r="W72" s="625"/>
      <c r="X72" s="625"/>
      <c r="Y72" s="625"/>
      <c r="Z72" s="625"/>
      <c r="AA72" s="625"/>
      <c r="AB72" s="625"/>
      <c r="AC72" s="625"/>
      <c r="AD72" s="625"/>
      <c r="AE72" s="625"/>
      <c r="AF72" s="625"/>
      <c r="AG72" s="625"/>
      <c r="AH72" s="625"/>
      <c r="AI72" s="625"/>
      <c r="AJ72" s="625"/>
      <c r="AK72" s="625"/>
      <c r="AL72" s="625"/>
      <c r="AM72" s="625"/>
      <c r="AN72" s="625"/>
    </row>
    <row r="73" spans="11:40" x14ac:dyDescent="0.25">
      <c r="K73" s="624"/>
      <c r="L73" s="625"/>
      <c r="M73" s="625"/>
      <c r="N73" s="625"/>
      <c r="O73" s="625"/>
      <c r="P73" s="625"/>
      <c r="Q73" s="625"/>
      <c r="R73" s="625"/>
      <c r="S73" s="625"/>
      <c r="T73" s="625"/>
      <c r="U73" s="625"/>
      <c r="V73" s="625"/>
      <c r="W73" s="625"/>
      <c r="X73" s="625"/>
      <c r="Y73" s="625"/>
      <c r="Z73" s="625"/>
      <c r="AA73" s="625"/>
      <c r="AB73" s="625"/>
      <c r="AC73" s="625"/>
      <c r="AD73" s="625"/>
      <c r="AE73" s="625"/>
      <c r="AF73" s="625"/>
      <c r="AG73" s="625"/>
      <c r="AH73" s="625"/>
      <c r="AI73" s="625"/>
      <c r="AJ73" s="625"/>
      <c r="AK73" s="625"/>
      <c r="AL73" s="625"/>
      <c r="AM73" s="625"/>
      <c r="AN73" s="625"/>
    </row>
    <row r="74" spans="11:40" x14ac:dyDescent="0.25">
      <c r="K74" s="624"/>
      <c r="L74" s="625"/>
      <c r="M74" s="625"/>
      <c r="N74" s="625"/>
      <c r="O74" s="625"/>
      <c r="P74" s="625"/>
      <c r="Q74" s="625"/>
      <c r="R74" s="625"/>
      <c r="S74" s="625"/>
      <c r="T74" s="625"/>
      <c r="U74" s="625"/>
      <c r="V74" s="625"/>
      <c r="W74" s="625"/>
      <c r="X74" s="625"/>
      <c r="Y74" s="625"/>
      <c r="Z74" s="625"/>
      <c r="AA74" s="625"/>
      <c r="AB74" s="625"/>
      <c r="AC74" s="625"/>
      <c r="AD74" s="625"/>
      <c r="AE74" s="625"/>
      <c r="AF74" s="625"/>
      <c r="AG74" s="625"/>
      <c r="AH74" s="625"/>
      <c r="AI74" s="625"/>
      <c r="AJ74" s="625"/>
      <c r="AK74" s="625"/>
      <c r="AL74" s="625"/>
      <c r="AM74" s="625"/>
      <c r="AN74" s="625"/>
    </row>
    <row r="75" spans="11:40" x14ac:dyDescent="0.25">
      <c r="K75" s="624"/>
      <c r="L75" s="625"/>
      <c r="M75" s="625"/>
      <c r="N75" s="625"/>
      <c r="O75" s="625"/>
      <c r="P75" s="625"/>
      <c r="Q75" s="625"/>
      <c r="R75" s="625"/>
      <c r="S75" s="625"/>
      <c r="T75" s="625"/>
      <c r="U75" s="625"/>
      <c r="V75" s="625"/>
      <c r="W75" s="625"/>
      <c r="X75" s="625"/>
      <c r="Y75" s="625"/>
      <c r="Z75" s="625"/>
      <c r="AA75" s="625"/>
      <c r="AB75" s="625"/>
      <c r="AC75" s="625"/>
      <c r="AD75" s="625"/>
      <c r="AE75" s="625"/>
      <c r="AF75" s="625"/>
      <c r="AG75" s="625"/>
      <c r="AH75" s="625"/>
      <c r="AI75" s="625"/>
      <c r="AJ75" s="625"/>
      <c r="AK75" s="625"/>
      <c r="AL75" s="625"/>
      <c r="AM75" s="625"/>
      <c r="AN75" s="625"/>
    </row>
    <row r="76" spans="11:40" x14ac:dyDescent="0.25">
      <c r="K76" s="624"/>
      <c r="L76" s="625"/>
      <c r="M76" s="625"/>
      <c r="N76" s="625"/>
      <c r="O76" s="625"/>
      <c r="P76" s="625"/>
      <c r="Q76" s="625"/>
      <c r="R76" s="625"/>
      <c r="S76" s="625"/>
      <c r="T76" s="625"/>
      <c r="U76" s="625"/>
      <c r="V76" s="625"/>
      <c r="W76" s="625"/>
      <c r="X76" s="625"/>
      <c r="Y76" s="625"/>
      <c r="Z76" s="625"/>
      <c r="AA76" s="625"/>
      <c r="AB76" s="625"/>
      <c r="AC76" s="625"/>
      <c r="AD76" s="625"/>
      <c r="AE76" s="625"/>
      <c r="AF76" s="625"/>
      <c r="AG76" s="625"/>
      <c r="AH76" s="625"/>
      <c r="AI76" s="625"/>
      <c r="AJ76" s="625"/>
      <c r="AK76" s="625"/>
      <c r="AL76" s="625"/>
      <c r="AM76" s="625"/>
      <c r="AN76" s="625"/>
    </row>
    <row r="77" spans="11:40" x14ac:dyDescent="0.25">
      <c r="K77" s="624"/>
      <c r="L77" s="625"/>
      <c r="M77" s="625"/>
      <c r="N77" s="625"/>
      <c r="O77" s="625"/>
      <c r="P77" s="625"/>
      <c r="Q77" s="625"/>
      <c r="R77" s="625"/>
      <c r="S77" s="625"/>
      <c r="T77" s="625"/>
      <c r="U77" s="625"/>
      <c r="V77" s="625"/>
      <c r="W77" s="625"/>
      <c r="X77" s="625"/>
      <c r="Y77" s="625"/>
      <c r="Z77" s="625"/>
      <c r="AA77" s="625"/>
      <c r="AB77" s="625"/>
      <c r="AC77" s="625"/>
      <c r="AD77" s="625"/>
      <c r="AE77" s="625"/>
      <c r="AF77" s="625"/>
      <c r="AG77" s="625"/>
      <c r="AH77" s="625"/>
      <c r="AI77" s="625"/>
      <c r="AJ77" s="625"/>
      <c r="AK77" s="625"/>
      <c r="AL77" s="625"/>
      <c r="AM77" s="625"/>
      <c r="AN77" s="625"/>
    </row>
    <row r="78" spans="11:40" x14ac:dyDescent="0.25">
      <c r="K78" s="624"/>
      <c r="L78" s="625"/>
      <c r="M78" s="625"/>
      <c r="N78" s="625"/>
      <c r="O78" s="625"/>
      <c r="P78" s="625"/>
      <c r="Q78" s="625"/>
      <c r="R78" s="625"/>
      <c r="S78" s="625"/>
      <c r="T78" s="625"/>
      <c r="U78" s="625"/>
      <c r="V78" s="625"/>
      <c r="W78" s="625"/>
      <c r="X78" s="625"/>
      <c r="Y78" s="625"/>
      <c r="Z78" s="625"/>
      <c r="AA78" s="625"/>
      <c r="AB78" s="625"/>
      <c r="AC78" s="625"/>
      <c r="AD78" s="625"/>
      <c r="AE78" s="625"/>
      <c r="AF78" s="625"/>
      <c r="AG78" s="625"/>
      <c r="AH78" s="625"/>
      <c r="AI78" s="625"/>
      <c r="AJ78" s="625"/>
      <c r="AK78" s="625"/>
      <c r="AL78" s="625"/>
      <c r="AM78" s="625"/>
      <c r="AN78" s="625"/>
    </row>
    <row r="79" spans="11:40" x14ac:dyDescent="0.25">
      <c r="K79" s="624"/>
      <c r="L79" s="625"/>
      <c r="M79" s="625"/>
      <c r="N79" s="625"/>
      <c r="O79" s="625"/>
      <c r="P79" s="625"/>
      <c r="Q79" s="625"/>
      <c r="R79" s="625"/>
      <c r="S79" s="625"/>
      <c r="T79" s="625"/>
      <c r="U79" s="625"/>
      <c r="V79" s="625"/>
      <c r="W79" s="625"/>
      <c r="X79" s="625"/>
      <c r="Y79" s="625"/>
      <c r="Z79" s="625"/>
      <c r="AA79" s="625"/>
      <c r="AB79" s="625"/>
      <c r="AC79" s="625"/>
      <c r="AD79" s="625"/>
      <c r="AE79" s="625"/>
      <c r="AF79" s="625"/>
      <c r="AG79" s="625"/>
      <c r="AH79" s="625"/>
      <c r="AI79" s="625"/>
      <c r="AJ79" s="625"/>
      <c r="AK79" s="625"/>
      <c r="AL79" s="625"/>
      <c r="AM79" s="625"/>
      <c r="AN79" s="625"/>
    </row>
    <row r="80" spans="11:40" x14ac:dyDescent="0.25">
      <c r="K80" s="624"/>
      <c r="L80" s="625"/>
      <c r="M80" s="625"/>
      <c r="N80" s="625"/>
      <c r="O80" s="625"/>
      <c r="P80" s="625"/>
      <c r="Q80" s="625"/>
      <c r="R80" s="625"/>
      <c r="S80" s="625"/>
      <c r="T80" s="625"/>
      <c r="U80" s="625"/>
      <c r="V80" s="625"/>
      <c r="W80" s="625"/>
      <c r="X80" s="625"/>
      <c r="Y80" s="625"/>
      <c r="Z80" s="625"/>
      <c r="AA80" s="625"/>
      <c r="AB80" s="625"/>
      <c r="AC80" s="625"/>
      <c r="AD80" s="625"/>
      <c r="AE80" s="625"/>
      <c r="AF80" s="625"/>
      <c r="AG80" s="625"/>
      <c r="AH80" s="625"/>
      <c r="AI80" s="625"/>
      <c r="AJ80" s="625"/>
      <c r="AK80" s="625"/>
      <c r="AL80" s="625"/>
      <c r="AM80" s="625"/>
      <c r="AN80" s="625"/>
    </row>
    <row r="81" spans="11:40" x14ac:dyDescent="0.25">
      <c r="K81" s="624"/>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5"/>
      <c r="AL81" s="625"/>
      <c r="AM81" s="625"/>
      <c r="AN81" s="625"/>
    </row>
    <row r="82" spans="11:40" x14ac:dyDescent="0.25">
      <c r="K82" s="624"/>
      <c r="L82" s="625"/>
      <c r="M82" s="625"/>
      <c r="N82" s="625"/>
      <c r="O82" s="625"/>
      <c r="P82" s="625"/>
      <c r="Q82" s="625"/>
      <c r="R82" s="625"/>
      <c r="S82" s="625"/>
      <c r="T82" s="625"/>
      <c r="U82" s="625"/>
      <c r="V82" s="625"/>
      <c r="W82" s="625"/>
      <c r="X82" s="625"/>
      <c r="Y82" s="625"/>
      <c r="Z82" s="625"/>
      <c r="AA82" s="625"/>
      <c r="AB82" s="625"/>
      <c r="AC82" s="625"/>
      <c r="AD82" s="625"/>
      <c r="AE82" s="625"/>
      <c r="AF82" s="625"/>
      <c r="AG82" s="625"/>
      <c r="AH82" s="625"/>
      <c r="AI82" s="625"/>
      <c r="AJ82" s="625"/>
      <c r="AK82" s="625"/>
      <c r="AL82" s="625"/>
      <c r="AM82" s="625"/>
      <c r="AN82" s="625"/>
    </row>
    <row r="83" spans="11:40" x14ac:dyDescent="0.25">
      <c r="K83" s="624"/>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5"/>
      <c r="AL83" s="625"/>
      <c r="AM83" s="625"/>
      <c r="AN83" s="625"/>
    </row>
    <row r="84" spans="11:40" x14ac:dyDescent="0.25">
      <c r="K84" s="624"/>
      <c r="L84" s="625"/>
      <c r="M84" s="625"/>
      <c r="N84" s="625"/>
      <c r="O84" s="625"/>
      <c r="P84" s="625"/>
      <c r="Q84" s="625"/>
      <c r="R84" s="625"/>
      <c r="S84" s="625"/>
      <c r="T84" s="625"/>
      <c r="U84" s="625"/>
      <c r="V84" s="625"/>
      <c r="W84" s="625"/>
      <c r="X84" s="625"/>
      <c r="Y84" s="625"/>
      <c r="Z84" s="625"/>
      <c r="AA84" s="625"/>
      <c r="AB84" s="625"/>
      <c r="AC84" s="625"/>
      <c r="AD84" s="625"/>
      <c r="AE84" s="625"/>
      <c r="AF84" s="625"/>
      <c r="AG84" s="625"/>
      <c r="AH84" s="625"/>
      <c r="AI84" s="625"/>
      <c r="AJ84" s="625"/>
      <c r="AK84" s="625"/>
      <c r="AL84" s="625"/>
      <c r="AM84" s="625"/>
      <c r="AN84" s="625"/>
    </row>
    <row r="85" spans="11:40" x14ac:dyDescent="0.25">
      <c r="K85" s="624"/>
      <c r="L85" s="625"/>
      <c r="M85" s="625"/>
      <c r="N85" s="625"/>
      <c r="O85" s="625"/>
      <c r="P85" s="625"/>
      <c r="Q85" s="625"/>
      <c r="R85" s="625"/>
      <c r="S85" s="625"/>
      <c r="T85" s="625"/>
      <c r="U85" s="625"/>
      <c r="V85" s="625"/>
      <c r="W85" s="625"/>
      <c r="X85" s="625"/>
      <c r="Y85" s="625"/>
      <c r="Z85" s="625"/>
      <c r="AA85" s="625"/>
      <c r="AB85" s="625"/>
      <c r="AC85" s="625"/>
      <c r="AD85" s="625"/>
      <c r="AE85" s="625"/>
      <c r="AF85" s="625"/>
      <c r="AG85" s="625"/>
      <c r="AH85" s="625"/>
      <c r="AI85" s="625"/>
      <c r="AJ85" s="625"/>
      <c r="AK85" s="625"/>
      <c r="AL85" s="625"/>
      <c r="AM85" s="625"/>
      <c r="AN85" s="625"/>
    </row>
    <row r="86" spans="11:40" x14ac:dyDescent="0.25">
      <c r="K86" s="624"/>
      <c r="L86" s="625"/>
      <c r="M86" s="625"/>
      <c r="N86" s="625"/>
      <c r="O86" s="625"/>
      <c r="P86" s="625"/>
      <c r="Q86" s="625"/>
      <c r="R86" s="625"/>
      <c r="S86" s="625"/>
      <c r="T86" s="625"/>
      <c r="U86" s="625"/>
      <c r="V86" s="625"/>
      <c r="W86" s="625"/>
      <c r="X86" s="625"/>
      <c r="Y86" s="625"/>
      <c r="Z86" s="625"/>
      <c r="AA86" s="625"/>
      <c r="AB86" s="625"/>
      <c r="AC86" s="625"/>
      <c r="AD86" s="625"/>
      <c r="AE86" s="625"/>
      <c r="AF86" s="625"/>
      <c r="AG86" s="625"/>
      <c r="AH86" s="625"/>
      <c r="AI86" s="625"/>
      <c r="AJ86" s="625"/>
      <c r="AK86" s="625"/>
      <c r="AL86" s="625"/>
      <c r="AM86" s="625"/>
      <c r="AN86" s="625"/>
    </row>
    <row r="87" spans="11:40" x14ac:dyDescent="0.25">
      <c r="K87" s="624"/>
      <c r="L87" s="625"/>
      <c r="M87" s="625"/>
      <c r="N87" s="625"/>
      <c r="O87" s="625"/>
      <c r="P87" s="625"/>
      <c r="Q87" s="625"/>
      <c r="R87" s="625"/>
      <c r="S87" s="625"/>
      <c r="T87" s="625"/>
      <c r="U87" s="625"/>
      <c r="V87" s="625"/>
      <c r="W87" s="625"/>
      <c r="X87" s="625"/>
      <c r="Y87" s="625"/>
      <c r="Z87" s="625"/>
      <c r="AA87" s="625"/>
      <c r="AB87" s="625"/>
      <c r="AC87" s="625"/>
      <c r="AD87" s="625"/>
      <c r="AE87" s="625"/>
      <c r="AF87" s="625"/>
      <c r="AG87" s="625"/>
      <c r="AH87" s="625"/>
      <c r="AI87" s="625"/>
      <c r="AJ87" s="625"/>
      <c r="AK87" s="625"/>
      <c r="AL87" s="625"/>
      <c r="AM87" s="625"/>
      <c r="AN87" s="625"/>
    </row>
    <row r="88" spans="11:40" x14ac:dyDescent="0.25">
      <c r="K88" s="624"/>
      <c r="L88" s="625"/>
      <c r="M88" s="625"/>
      <c r="N88" s="625"/>
      <c r="O88" s="625"/>
      <c r="P88" s="625"/>
      <c r="Q88" s="625"/>
      <c r="R88" s="625"/>
      <c r="S88" s="625"/>
      <c r="T88" s="625"/>
      <c r="U88" s="625"/>
      <c r="V88" s="625"/>
      <c r="W88" s="625"/>
      <c r="X88" s="625"/>
      <c r="Y88" s="625"/>
      <c r="Z88" s="625"/>
      <c r="AA88" s="625"/>
      <c r="AB88" s="625"/>
      <c r="AC88" s="625"/>
      <c r="AD88" s="625"/>
      <c r="AE88" s="625"/>
      <c r="AF88" s="625"/>
      <c r="AG88" s="625"/>
      <c r="AH88" s="625"/>
      <c r="AI88" s="625"/>
      <c r="AJ88" s="625"/>
      <c r="AK88" s="625"/>
      <c r="AL88" s="625"/>
      <c r="AM88" s="625"/>
      <c r="AN88" s="625"/>
    </row>
    <row r="89" spans="11:40" x14ac:dyDescent="0.25">
      <c r="K89" s="624"/>
      <c r="L89" s="625"/>
      <c r="M89" s="625"/>
      <c r="N89" s="625"/>
      <c r="O89" s="625"/>
      <c r="P89" s="625"/>
      <c r="Q89" s="625"/>
      <c r="R89" s="625"/>
      <c r="S89" s="625"/>
      <c r="T89" s="625"/>
      <c r="U89" s="625"/>
      <c r="V89" s="625"/>
      <c r="W89" s="625"/>
      <c r="X89" s="625"/>
      <c r="Y89" s="625"/>
      <c r="Z89" s="625"/>
      <c r="AA89" s="625"/>
      <c r="AB89" s="625"/>
      <c r="AC89" s="625"/>
      <c r="AD89" s="625"/>
      <c r="AE89" s="625"/>
      <c r="AF89" s="625"/>
      <c r="AG89" s="625"/>
      <c r="AH89" s="625"/>
      <c r="AI89" s="625"/>
      <c r="AJ89" s="625"/>
      <c r="AK89" s="625"/>
      <c r="AL89" s="625"/>
      <c r="AM89" s="625"/>
      <c r="AN89" s="625"/>
    </row>
    <row r="90" spans="11:40" x14ac:dyDescent="0.25">
      <c r="K90" s="624"/>
      <c r="L90" s="625"/>
      <c r="M90" s="625"/>
      <c r="N90" s="625"/>
      <c r="O90" s="625"/>
      <c r="P90" s="625"/>
      <c r="Q90" s="625"/>
      <c r="R90" s="625"/>
      <c r="S90" s="625"/>
      <c r="T90" s="625"/>
      <c r="U90" s="625"/>
      <c r="V90" s="625"/>
      <c r="W90" s="625"/>
      <c r="X90" s="625"/>
      <c r="Y90" s="625"/>
      <c r="Z90" s="625"/>
      <c r="AA90" s="625"/>
      <c r="AB90" s="625"/>
      <c r="AC90" s="625"/>
      <c r="AD90" s="625"/>
      <c r="AE90" s="625"/>
      <c r="AF90" s="625"/>
      <c r="AG90" s="625"/>
      <c r="AH90" s="625"/>
      <c r="AI90" s="625"/>
      <c r="AJ90" s="625"/>
      <c r="AK90" s="625"/>
      <c r="AL90" s="625"/>
      <c r="AM90" s="625"/>
      <c r="AN90" s="625"/>
    </row>
    <row r="91" spans="11:40" x14ac:dyDescent="0.25">
      <c r="K91" s="624"/>
      <c r="L91" s="625"/>
      <c r="M91" s="625"/>
      <c r="N91" s="625"/>
      <c r="O91" s="625"/>
      <c r="P91" s="625"/>
      <c r="Q91" s="625"/>
      <c r="R91" s="625"/>
      <c r="S91" s="625"/>
      <c r="T91" s="625"/>
      <c r="U91" s="625"/>
      <c r="V91" s="625"/>
      <c r="W91" s="625"/>
      <c r="X91" s="625"/>
      <c r="Y91" s="625"/>
      <c r="Z91" s="625"/>
      <c r="AA91" s="625"/>
      <c r="AB91" s="625"/>
      <c r="AC91" s="625"/>
      <c r="AD91" s="625"/>
      <c r="AE91" s="625"/>
      <c r="AF91" s="625"/>
      <c r="AG91" s="625"/>
      <c r="AH91" s="625"/>
      <c r="AI91" s="625"/>
      <c r="AJ91" s="625"/>
      <c r="AK91" s="625"/>
      <c r="AL91" s="625"/>
      <c r="AM91" s="625"/>
      <c r="AN91" s="625"/>
    </row>
    <row r="92" spans="11:40" x14ac:dyDescent="0.25">
      <c r="K92" s="624"/>
      <c r="L92" s="625"/>
      <c r="M92" s="625"/>
      <c r="N92" s="625"/>
      <c r="O92" s="625"/>
      <c r="P92" s="625"/>
      <c r="Q92" s="625"/>
      <c r="R92" s="625"/>
      <c r="S92" s="625"/>
      <c r="T92" s="625"/>
      <c r="U92" s="625"/>
      <c r="V92" s="625"/>
      <c r="W92" s="625"/>
      <c r="X92" s="625"/>
      <c r="Y92" s="625"/>
      <c r="Z92" s="625"/>
      <c r="AA92" s="625"/>
      <c r="AB92" s="625"/>
      <c r="AC92" s="625"/>
      <c r="AD92" s="625"/>
      <c r="AE92" s="625"/>
      <c r="AF92" s="625"/>
      <c r="AG92" s="625"/>
      <c r="AH92" s="625"/>
      <c r="AI92" s="625"/>
      <c r="AJ92" s="625"/>
      <c r="AK92" s="625"/>
      <c r="AL92" s="625"/>
      <c r="AM92" s="625"/>
      <c r="AN92" s="625"/>
    </row>
    <row r="93" spans="11:40" x14ac:dyDescent="0.25">
      <c r="K93" s="624"/>
      <c r="L93" s="625"/>
      <c r="M93" s="625"/>
      <c r="N93" s="625"/>
      <c r="O93" s="625"/>
      <c r="P93" s="625"/>
      <c r="Q93" s="625"/>
      <c r="R93" s="625"/>
      <c r="S93" s="625"/>
      <c r="T93" s="625"/>
      <c r="U93" s="625"/>
      <c r="V93" s="625"/>
      <c r="W93" s="625"/>
      <c r="X93" s="625"/>
      <c r="Y93" s="625"/>
      <c r="Z93" s="625"/>
      <c r="AA93" s="625"/>
      <c r="AB93" s="625"/>
      <c r="AC93" s="625"/>
      <c r="AD93" s="625"/>
      <c r="AE93" s="625"/>
      <c r="AF93" s="625"/>
      <c r="AG93" s="625"/>
      <c r="AH93" s="625"/>
      <c r="AI93" s="625"/>
      <c r="AJ93" s="625"/>
      <c r="AK93" s="625"/>
      <c r="AL93" s="625"/>
      <c r="AM93" s="625"/>
      <c r="AN93" s="625"/>
    </row>
    <row r="94" spans="11:40" x14ac:dyDescent="0.25">
      <c r="K94" s="624"/>
      <c r="L94" s="625"/>
      <c r="M94" s="625"/>
      <c r="N94" s="625"/>
      <c r="O94" s="625"/>
      <c r="P94" s="625"/>
      <c r="Q94" s="625"/>
      <c r="R94" s="625"/>
      <c r="S94" s="625"/>
      <c r="T94" s="625"/>
      <c r="U94" s="625"/>
      <c r="V94" s="625"/>
      <c r="W94" s="625"/>
      <c r="X94" s="625"/>
      <c r="Y94" s="625"/>
      <c r="Z94" s="625"/>
      <c r="AA94" s="625"/>
      <c r="AB94" s="625"/>
      <c r="AC94" s="625"/>
      <c r="AD94" s="625"/>
      <c r="AE94" s="625"/>
      <c r="AF94" s="625"/>
      <c r="AG94" s="625"/>
      <c r="AH94" s="625"/>
      <c r="AI94" s="625"/>
      <c r="AJ94" s="625"/>
      <c r="AK94" s="625"/>
      <c r="AL94" s="625"/>
      <c r="AM94" s="625"/>
      <c r="AN94" s="625"/>
    </row>
    <row r="95" spans="11:40" x14ac:dyDescent="0.25">
      <c r="K95" s="624"/>
      <c r="L95" s="625"/>
      <c r="M95" s="625"/>
      <c r="N95" s="625"/>
      <c r="O95" s="625"/>
      <c r="P95" s="625"/>
      <c r="Q95" s="625"/>
      <c r="R95" s="625"/>
      <c r="S95" s="625"/>
      <c r="T95" s="625"/>
      <c r="U95" s="625"/>
      <c r="V95" s="625"/>
      <c r="W95" s="625"/>
      <c r="X95" s="625"/>
      <c r="Y95" s="625"/>
      <c r="Z95" s="625"/>
      <c r="AA95" s="625"/>
      <c r="AB95" s="625"/>
      <c r="AC95" s="625"/>
      <c r="AD95" s="625"/>
      <c r="AE95" s="625"/>
      <c r="AF95" s="625"/>
      <c r="AG95" s="625"/>
      <c r="AH95" s="625"/>
      <c r="AI95" s="625"/>
      <c r="AJ95" s="625"/>
      <c r="AK95" s="625"/>
      <c r="AL95" s="625"/>
      <c r="AM95" s="625"/>
      <c r="AN95" s="625"/>
    </row>
    <row r="96" spans="11:40" x14ac:dyDescent="0.25">
      <c r="K96" s="624"/>
      <c r="L96" s="625"/>
      <c r="M96" s="625"/>
      <c r="N96" s="625"/>
      <c r="O96" s="625"/>
      <c r="P96" s="625"/>
      <c r="Q96" s="625"/>
      <c r="R96" s="625"/>
      <c r="S96" s="625"/>
      <c r="T96" s="625"/>
      <c r="U96" s="625"/>
      <c r="V96" s="625"/>
      <c r="W96" s="625"/>
      <c r="X96" s="625"/>
      <c r="Y96" s="625"/>
      <c r="Z96" s="625"/>
      <c r="AA96" s="625"/>
      <c r="AB96" s="625"/>
      <c r="AC96" s="625"/>
      <c r="AD96" s="625"/>
      <c r="AE96" s="625"/>
      <c r="AF96" s="625"/>
      <c r="AG96" s="625"/>
      <c r="AH96" s="625"/>
      <c r="AI96" s="625"/>
      <c r="AJ96" s="625"/>
      <c r="AK96" s="625"/>
      <c r="AL96" s="625"/>
      <c r="AM96" s="625"/>
      <c r="AN96" s="625"/>
    </row>
    <row r="97" spans="11:40" x14ac:dyDescent="0.25">
      <c r="K97" s="624"/>
      <c r="L97" s="625"/>
      <c r="M97" s="625"/>
      <c r="N97" s="625"/>
      <c r="O97" s="625"/>
      <c r="P97" s="625"/>
      <c r="Q97" s="625"/>
      <c r="R97" s="625"/>
      <c r="S97" s="625"/>
      <c r="T97" s="625"/>
      <c r="U97" s="625"/>
      <c r="V97" s="625"/>
      <c r="W97" s="625"/>
      <c r="X97" s="625"/>
      <c r="Y97" s="625"/>
      <c r="Z97" s="625"/>
      <c r="AA97" s="625"/>
      <c r="AB97" s="625"/>
      <c r="AC97" s="625"/>
      <c r="AD97" s="625"/>
      <c r="AE97" s="625"/>
      <c r="AF97" s="625"/>
      <c r="AG97" s="625"/>
      <c r="AH97" s="625"/>
      <c r="AI97" s="625"/>
      <c r="AJ97" s="625"/>
      <c r="AK97" s="625"/>
      <c r="AL97" s="625"/>
      <c r="AM97" s="625"/>
      <c r="AN97" s="625"/>
    </row>
    <row r="98" spans="11:40" x14ac:dyDescent="0.25">
      <c r="K98" s="624"/>
      <c r="L98" s="625"/>
      <c r="M98" s="625"/>
      <c r="N98" s="625"/>
      <c r="O98" s="625"/>
      <c r="P98" s="625"/>
      <c r="Q98" s="625"/>
      <c r="R98" s="625"/>
      <c r="S98" s="625"/>
      <c r="T98" s="625"/>
      <c r="U98" s="625"/>
      <c r="V98" s="625"/>
      <c r="W98" s="625"/>
      <c r="X98" s="625"/>
      <c r="Y98" s="625"/>
      <c r="Z98" s="625"/>
      <c r="AA98" s="625"/>
      <c r="AB98" s="625"/>
      <c r="AC98" s="625"/>
      <c r="AD98" s="625"/>
      <c r="AE98" s="625"/>
      <c r="AF98" s="625"/>
      <c r="AG98" s="625"/>
      <c r="AH98" s="625"/>
      <c r="AI98" s="625"/>
      <c r="AJ98" s="625"/>
      <c r="AK98" s="625"/>
      <c r="AL98" s="625"/>
      <c r="AM98" s="625"/>
      <c r="AN98" s="625"/>
    </row>
    <row r="99" spans="11:40" x14ac:dyDescent="0.25">
      <c r="K99" s="624"/>
      <c r="L99" s="625"/>
      <c r="M99" s="625"/>
      <c r="N99" s="625"/>
      <c r="O99" s="625"/>
      <c r="P99" s="625"/>
      <c r="Q99" s="625"/>
      <c r="R99" s="625"/>
      <c r="S99" s="625"/>
      <c r="T99" s="625"/>
      <c r="U99" s="625"/>
      <c r="V99" s="625"/>
      <c r="W99" s="625"/>
      <c r="X99" s="625"/>
      <c r="Y99" s="625"/>
      <c r="Z99" s="625"/>
      <c r="AA99" s="625"/>
      <c r="AB99" s="625"/>
      <c r="AC99" s="625"/>
      <c r="AD99" s="625"/>
      <c r="AE99" s="625"/>
      <c r="AF99" s="625"/>
      <c r="AG99" s="625"/>
      <c r="AH99" s="625"/>
      <c r="AI99" s="625"/>
      <c r="AJ99" s="625"/>
      <c r="AK99" s="625"/>
      <c r="AL99" s="625"/>
      <c r="AM99" s="625"/>
      <c r="AN99" s="625"/>
    </row>
    <row r="100" spans="11:40" x14ac:dyDescent="0.25">
      <c r="K100" s="624"/>
      <c r="L100" s="625"/>
      <c r="M100" s="625"/>
      <c r="N100" s="625"/>
      <c r="O100" s="625"/>
      <c r="P100" s="625"/>
      <c r="Q100" s="625"/>
      <c r="R100" s="625"/>
      <c r="S100" s="625"/>
      <c r="T100" s="625"/>
      <c r="U100" s="625"/>
      <c r="V100" s="625"/>
      <c r="W100" s="625"/>
      <c r="X100" s="625"/>
      <c r="Y100" s="625"/>
      <c r="Z100" s="625"/>
      <c r="AA100" s="625"/>
      <c r="AB100" s="625"/>
      <c r="AC100" s="625"/>
      <c r="AD100" s="625"/>
      <c r="AE100" s="625"/>
      <c r="AF100" s="625"/>
      <c r="AG100" s="625"/>
      <c r="AH100" s="625"/>
      <c r="AI100" s="625"/>
      <c r="AJ100" s="625"/>
      <c r="AK100" s="625"/>
      <c r="AL100" s="625"/>
      <c r="AM100" s="625"/>
      <c r="AN100" s="625"/>
    </row>
    <row r="101" spans="11:40" x14ac:dyDescent="0.25">
      <c r="K101" s="624"/>
      <c r="L101" s="625"/>
      <c r="M101" s="625"/>
      <c r="N101" s="625"/>
      <c r="O101" s="625"/>
      <c r="P101" s="625"/>
      <c r="Q101" s="625"/>
      <c r="R101" s="625"/>
      <c r="S101" s="625"/>
      <c r="T101" s="625"/>
      <c r="U101" s="625"/>
      <c r="V101" s="625"/>
      <c r="W101" s="625"/>
      <c r="X101" s="625"/>
      <c r="Y101" s="625"/>
      <c r="Z101" s="625"/>
      <c r="AA101" s="625"/>
      <c r="AB101" s="625"/>
      <c r="AC101" s="625"/>
      <c r="AD101" s="625"/>
      <c r="AE101" s="625"/>
      <c r="AF101" s="625"/>
      <c r="AG101" s="625"/>
      <c r="AH101" s="625"/>
      <c r="AI101" s="625"/>
      <c r="AJ101" s="625"/>
      <c r="AK101" s="625"/>
      <c r="AL101" s="625"/>
      <c r="AM101" s="625"/>
      <c r="AN101" s="625"/>
    </row>
    <row r="102" spans="11:40" x14ac:dyDescent="0.25">
      <c r="K102" s="624"/>
      <c r="L102" s="625"/>
      <c r="M102" s="625"/>
      <c r="N102" s="625"/>
      <c r="O102" s="625"/>
      <c r="P102" s="625"/>
      <c r="Q102" s="625"/>
      <c r="R102" s="625"/>
      <c r="S102" s="625"/>
      <c r="T102" s="625"/>
      <c r="U102" s="625"/>
      <c r="V102" s="625"/>
      <c r="W102" s="625"/>
      <c r="X102" s="625"/>
      <c r="Y102" s="625"/>
      <c r="Z102" s="625"/>
      <c r="AA102" s="625"/>
      <c r="AB102" s="625"/>
      <c r="AC102" s="625"/>
      <c r="AD102" s="625"/>
      <c r="AE102" s="625"/>
      <c r="AF102" s="625"/>
      <c r="AG102" s="625"/>
      <c r="AH102" s="625"/>
      <c r="AI102" s="625"/>
      <c r="AJ102" s="625"/>
      <c r="AK102" s="625"/>
      <c r="AL102" s="625"/>
      <c r="AM102" s="625"/>
      <c r="AN102" s="625"/>
    </row>
    <row r="103" spans="11:40" x14ac:dyDescent="0.25">
      <c r="K103" s="624"/>
      <c r="L103" s="625"/>
      <c r="M103" s="625"/>
      <c r="N103" s="625"/>
      <c r="O103" s="625"/>
      <c r="P103" s="625"/>
      <c r="Q103" s="625"/>
      <c r="R103" s="625"/>
      <c r="S103" s="625"/>
      <c r="T103" s="625"/>
      <c r="U103" s="625"/>
      <c r="V103" s="625"/>
      <c r="W103" s="625"/>
      <c r="X103" s="625"/>
      <c r="Y103" s="625"/>
      <c r="Z103" s="625"/>
      <c r="AA103" s="625"/>
      <c r="AB103" s="625"/>
      <c r="AC103" s="625"/>
      <c r="AD103" s="625"/>
      <c r="AE103" s="625"/>
      <c r="AF103" s="625"/>
      <c r="AG103" s="625"/>
      <c r="AH103" s="625"/>
      <c r="AI103" s="625"/>
      <c r="AJ103" s="625"/>
      <c r="AK103" s="625"/>
      <c r="AL103" s="625"/>
      <c r="AM103" s="625"/>
      <c r="AN103" s="625"/>
    </row>
    <row r="104" spans="11:40" x14ac:dyDescent="0.25">
      <c r="K104" s="624"/>
      <c r="L104" s="625"/>
      <c r="M104" s="625"/>
      <c r="N104" s="625"/>
      <c r="O104" s="625"/>
      <c r="P104" s="625"/>
      <c r="Q104" s="625"/>
      <c r="R104" s="625"/>
      <c r="S104" s="625"/>
      <c r="T104" s="625"/>
      <c r="U104" s="625"/>
      <c r="V104" s="625"/>
      <c r="W104" s="625"/>
      <c r="X104" s="625"/>
      <c r="Y104" s="625"/>
      <c r="Z104" s="625"/>
      <c r="AA104" s="625"/>
      <c r="AB104" s="625"/>
      <c r="AC104" s="625"/>
      <c r="AD104" s="625"/>
      <c r="AE104" s="625"/>
      <c r="AF104" s="625"/>
      <c r="AG104" s="625"/>
      <c r="AH104" s="625"/>
      <c r="AI104" s="625"/>
      <c r="AJ104" s="625"/>
      <c r="AK104" s="625"/>
      <c r="AL104" s="625"/>
      <c r="AM104" s="625"/>
      <c r="AN104" s="625"/>
    </row>
    <row r="105" spans="11:40" x14ac:dyDescent="0.25">
      <c r="K105" s="624"/>
      <c r="L105" s="625"/>
      <c r="M105" s="625"/>
      <c r="N105" s="625"/>
      <c r="O105" s="625"/>
      <c r="P105" s="625"/>
      <c r="Q105" s="625"/>
      <c r="R105" s="625"/>
      <c r="S105" s="625"/>
      <c r="T105" s="625"/>
      <c r="U105" s="625"/>
      <c r="V105" s="625"/>
      <c r="W105" s="625"/>
      <c r="X105" s="625"/>
      <c r="Y105" s="625"/>
      <c r="Z105" s="625"/>
      <c r="AA105" s="625"/>
      <c r="AB105" s="625"/>
      <c r="AC105" s="625"/>
      <c r="AD105" s="625"/>
      <c r="AE105" s="625"/>
      <c r="AF105" s="625"/>
      <c r="AG105" s="625"/>
      <c r="AH105" s="625"/>
      <c r="AI105" s="625"/>
      <c r="AJ105" s="625"/>
      <c r="AK105" s="625"/>
      <c r="AL105" s="625"/>
      <c r="AM105" s="625"/>
      <c r="AN105" s="625"/>
    </row>
    <row r="106" spans="11:40" x14ac:dyDescent="0.25">
      <c r="K106" s="624"/>
      <c r="L106" s="625"/>
      <c r="M106" s="625"/>
      <c r="N106" s="625"/>
      <c r="O106" s="625"/>
      <c r="P106" s="625"/>
      <c r="Q106" s="625"/>
      <c r="R106" s="625"/>
      <c r="S106" s="625"/>
      <c r="T106" s="625"/>
      <c r="U106" s="625"/>
      <c r="V106" s="625"/>
      <c r="W106" s="625"/>
      <c r="X106" s="625"/>
      <c r="Y106" s="625"/>
      <c r="Z106" s="625"/>
      <c r="AA106" s="625"/>
      <c r="AB106" s="625"/>
      <c r="AC106" s="625"/>
      <c r="AD106" s="625"/>
      <c r="AE106" s="625"/>
      <c r="AF106" s="625"/>
      <c r="AG106" s="625"/>
      <c r="AH106" s="625"/>
      <c r="AI106" s="625"/>
      <c r="AJ106" s="625"/>
      <c r="AK106" s="625"/>
      <c r="AL106" s="625"/>
      <c r="AM106" s="625"/>
      <c r="AN106" s="625"/>
    </row>
    <row r="107" spans="11:40" x14ac:dyDescent="0.25">
      <c r="K107" s="624"/>
      <c r="L107" s="625"/>
      <c r="M107" s="625"/>
      <c r="N107" s="625"/>
      <c r="O107" s="625"/>
      <c r="P107" s="625"/>
      <c r="Q107" s="625"/>
      <c r="R107" s="625"/>
      <c r="S107" s="625"/>
      <c r="T107" s="625"/>
      <c r="U107" s="625"/>
      <c r="V107" s="625"/>
      <c r="W107" s="625"/>
      <c r="X107" s="625"/>
      <c r="Y107" s="625"/>
      <c r="Z107" s="625"/>
      <c r="AA107" s="625"/>
      <c r="AB107" s="625"/>
      <c r="AC107" s="625"/>
      <c r="AD107" s="625"/>
      <c r="AE107" s="625"/>
      <c r="AF107" s="625"/>
      <c r="AG107" s="625"/>
      <c r="AH107" s="625"/>
      <c r="AI107" s="625"/>
      <c r="AJ107" s="625"/>
      <c r="AK107" s="625"/>
      <c r="AL107" s="625"/>
      <c r="AM107" s="625"/>
      <c r="AN107" s="625"/>
    </row>
    <row r="108" spans="11:40" x14ac:dyDescent="0.25">
      <c r="K108" s="624"/>
      <c r="L108" s="625"/>
      <c r="M108" s="625"/>
      <c r="N108" s="625"/>
      <c r="O108" s="625"/>
      <c r="P108" s="625"/>
      <c r="Q108" s="625"/>
      <c r="R108" s="625"/>
      <c r="S108" s="625"/>
      <c r="T108" s="625"/>
      <c r="U108" s="625"/>
      <c r="V108" s="625"/>
      <c r="W108" s="625"/>
      <c r="X108" s="625"/>
      <c r="Y108" s="625"/>
      <c r="Z108" s="625"/>
      <c r="AA108" s="625"/>
      <c r="AB108" s="625"/>
      <c r="AC108" s="625"/>
      <c r="AD108" s="625"/>
      <c r="AE108" s="625"/>
      <c r="AF108" s="625"/>
      <c r="AG108" s="625"/>
      <c r="AH108" s="625"/>
      <c r="AI108" s="625"/>
      <c r="AJ108" s="625"/>
      <c r="AK108" s="625"/>
      <c r="AL108" s="625"/>
      <c r="AM108" s="625"/>
      <c r="AN108" s="625"/>
    </row>
    <row r="109" spans="11:40" x14ac:dyDescent="0.25">
      <c r="K109" s="624"/>
      <c r="L109" s="625"/>
      <c r="M109" s="625"/>
      <c r="N109" s="625"/>
      <c r="O109" s="625"/>
      <c r="P109" s="625"/>
      <c r="Q109" s="625"/>
      <c r="R109" s="625"/>
      <c r="S109" s="625"/>
      <c r="T109" s="625"/>
      <c r="U109" s="625"/>
      <c r="V109" s="625"/>
      <c r="W109" s="625"/>
      <c r="X109" s="625"/>
      <c r="Y109" s="625"/>
      <c r="Z109" s="625"/>
      <c r="AA109" s="625"/>
      <c r="AB109" s="625"/>
      <c r="AC109" s="625"/>
      <c r="AD109" s="625"/>
      <c r="AE109" s="625"/>
      <c r="AF109" s="625"/>
      <c r="AG109" s="625"/>
      <c r="AH109" s="625"/>
      <c r="AI109" s="625"/>
      <c r="AJ109" s="625"/>
      <c r="AK109" s="625"/>
      <c r="AL109" s="625"/>
      <c r="AM109" s="625"/>
      <c r="AN109" s="625"/>
    </row>
    <row r="110" spans="11:40" x14ac:dyDescent="0.25">
      <c r="K110" s="624"/>
      <c r="L110" s="625"/>
      <c r="M110" s="625"/>
      <c r="N110" s="625"/>
      <c r="O110" s="625"/>
      <c r="P110" s="625"/>
      <c r="Q110" s="625"/>
      <c r="R110" s="625"/>
      <c r="S110" s="625"/>
      <c r="T110" s="625"/>
      <c r="U110" s="625"/>
      <c r="V110" s="625"/>
      <c r="W110" s="625"/>
      <c r="X110" s="625"/>
      <c r="Y110" s="625"/>
      <c r="Z110" s="625"/>
      <c r="AA110" s="625"/>
      <c r="AB110" s="625"/>
      <c r="AC110" s="625"/>
      <c r="AD110" s="625"/>
      <c r="AE110" s="625"/>
      <c r="AF110" s="625"/>
      <c r="AG110" s="625"/>
      <c r="AH110" s="625"/>
      <c r="AI110" s="625"/>
      <c r="AJ110" s="625"/>
      <c r="AK110" s="625"/>
      <c r="AL110" s="625"/>
      <c r="AM110" s="625"/>
      <c r="AN110" s="625"/>
    </row>
    <row r="111" spans="11:40" x14ac:dyDescent="0.25">
      <c r="K111" s="624"/>
      <c r="L111" s="625"/>
      <c r="M111" s="625"/>
      <c r="N111" s="625"/>
      <c r="O111" s="625"/>
      <c r="P111" s="625"/>
      <c r="Q111" s="625"/>
      <c r="R111" s="625"/>
      <c r="S111" s="625"/>
      <c r="T111" s="625"/>
      <c r="U111" s="625"/>
      <c r="V111" s="625"/>
      <c r="W111" s="625"/>
      <c r="X111" s="625"/>
      <c r="Y111" s="625"/>
      <c r="Z111" s="625"/>
      <c r="AA111" s="625"/>
      <c r="AB111" s="625"/>
      <c r="AC111" s="625"/>
      <c r="AD111" s="625"/>
      <c r="AE111" s="625"/>
      <c r="AF111" s="625"/>
      <c r="AG111" s="625"/>
      <c r="AH111" s="625"/>
      <c r="AI111" s="625"/>
      <c r="AJ111" s="625"/>
      <c r="AK111" s="625"/>
      <c r="AL111" s="625"/>
      <c r="AM111" s="625"/>
      <c r="AN111" s="625"/>
    </row>
    <row r="112" spans="11:40" x14ac:dyDescent="0.25">
      <c r="K112" s="624"/>
      <c r="L112" s="625"/>
      <c r="M112" s="625"/>
      <c r="N112" s="625"/>
      <c r="O112" s="625"/>
      <c r="P112" s="625"/>
      <c r="Q112" s="625"/>
      <c r="R112" s="625"/>
      <c r="S112" s="625"/>
      <c r="T112" s="625"/>
      <c r="U112" s="625"/>
      <c r="V112" s="625"/>
      <c r="W112" s="625"/>
      <c r="X112" s="625"/>
      <c r="Y112" s="625"/>
      <c r="Z112" s="625"/>
      <c r="AA112" s="625"/>
      <c r="AB112" s="625"/>
      <c r="AC112" s="625"/>
      <c r="AD112" s="625"/>
      <c r="AE112" s="625"/>
      <c r="AF112" s="625"/>
      <c r="AG112" s="625"/>
      <c r="AH112" s="625"/>
      <c r="AI112" s="625"/>
      <c r="AJ112" s="625"/>
      <c r="AK112" s="625"/>
      <c r="AL112" s="625"/>
      <c r="AM112" s="625"/>
      <c r="AN112" s="625"/>
    </row>
    <row r="113" spans="11:40" x14ac:dyDescent="0.25">
      <c r="K113" s="624"/>
      <c r="L113" s="625"/>
      <c r="M113" s="625"/>
      <c r="N113" s="625"/>
      <c r="O113" s="625"/>
      <c r="P113" s="625"/>
      <c r="Q113" s="625"/>
      <c r="R113" s="625"/>
      <c r="S113" s="625"/>
      <c r="T113" s="625"/>
      <c r="U113" s="625"/>
      <c r="V113" s="625"/>
      <c r="W113" s="625"/>
      <c r="X113" s="625"/>
      <c r="Y113" s="625"/>
      <c r="Z113" s="625"/>
      <c r="AA113" s="625"/>
      <c r="AB113" s="625"/>
      <c r="AC113" s="625"/>
      <c r="AD113" s="625"/>
      <c r="AE113" s="625"/>
      <c r="AF113" s="625"/>
      <c r="AG113" s="625"/>
      <c r="AH113" s="625"/>
      <c r="AI113" s="625"/>
      <c r="AJ113" s="625"/>
      <c r="AK113" s="625"/>
      <c r="AL113" s="625"/>
      <c r="AM113" s="625"/>
      <c r="AN113" s="625"/>
    </row>
    <row r="114" spans="11:40" x14ac:dyDescent="0.25">
      <c r="K114" s="624"/>
      <c r="L114" s="625"/>
      <c r="M114" s="625"/>
      <c r="N114" s="625"/>
      <c r="O114" s="625"/>
      <c r="P114" s="625"/>
      <c r="Q114" s="625"/>
      <c r="R114" s="625"/>
      <c r="S114" s="625"/>
      <c r="T114" s="625"/>
      <c r="U114" s="625"/>
      <c r="V114" s="625"/>
      <c r="W114" s="625"/>
      <c r="X114" s="625"/>
      <c r="Y114" s="625"/>
      <c r="Z114" s="625"/>
      <c r="AA114" s="625"/>
      <c r="AB114" s="625"/>
      <c r="AC114" s="625"/>
      <c r="AD114" s="625"/>
      <c r="AE114" s="625"/>
      <c r="AF114" s="625"/>
      <c r="AG114" s="625"/>
      <c r="AH114" s="625"/>
      <c r="AI114" s="625"/>
      <c r="AJ114" s="625"/>
      <c r="AK114" s="625"/>
      <c r="AL114" s="625"/>
      <c r="AM114" s="625"/>
      <c r="AN114" s="625"/>
    </row>
    <row r="115" spans="11:40" x14ac:dyDescent="0.25">
      <c r="K115" s="624"/>
      <c r="L115" s="625"/>
      <c r="M115" s="625"/>
      <c r="N115" s="625"/>
      <c r="O115" s="625"/>
      <c r="P115" s="625"/>
      <c r="Q115" s="625"/>
      <c r="R115" s="625"/>
      <c r="S115" s="625"/>
      <c r="T115" s="625"/>
      <c r="U115" s="625"/>
      <c r="V115" s="625"/>
      <c r="W115" s="625"/>
      <c r="X115" s="625"/>
      <c r="Y115" s="625"/>
      <c r="Z115" s="625"/>
      <c r="AA115" s="625"/>
      <c r="AB115" s="625"/>
      <c r="AC115" s="625"/>
      <c r="AD115" s="625"/>
      <c r="AE115" s="625"/>
      <c r="AF115" s="625"/>
      <c r="AG115" s="625"/>
      <c r="AH115" s="625"/>
      <c r="AI115" s="625"/>
      <c r="AJ115" s="625"/>
      <c r="AK115" s="625"/>
      <c r="AL115" s="625"/>
      <c r="AM115" s="625"/>
      <c r="AN115" s="625"/>
    </row>
    <row r="116" spans="11:40" x14ac:dyDescent="0.25">
      <c r="K116" s="624"/>
      <c r="L116" s="625"/>
      <c r="M116" s="625"/>
      <c r="N116" s="625"/>
      <c r="O116" s="625"/>
      <c r="P116" s="625"/>
      <c r="Q116" s="625"/>
      <c r="R116" s="625"/>
      <c r="S116" s="625"/>
      <c r="T116" s="625"/>
      <c r="U116" s="625"/>
      <c r="V116" s="625"/>
      <c r="W116" s="625"/>
      <c r="X116" s="625"/>
      <c r="Y116" s="625"/>
      <c r="Z116" s="625"/>
      <c r="AA116" s="625"/>
      <c r="AB116" s="625"/>
      <c r="AC116" s="625"/>
      <c r="AD116" s="625"/>
      <c r="AE116" s="625"/>
      <c r="AF116" s="625"/>
      <c r="AG116" s="625"/>
      <c r="AH116" s="625"/>
      <c r="AI116" s="625"/>
      <c r="AJ116" s="625"/>
      <c r="AK116" s="625"/>
      <c r="AL116" s="625"/>
      <c r="AM116" s="625"/>
      <c r="AN116" s="625"/>
    </row>
    <row r="117" spans="11:40" x14ac:dyDescent="0.25">
      <c r="K117" s="624"/>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625"/>
      <c r="AH117" s="625"/>
      <c r="AI117" s="625"/>
      <c r="AJ117" s="625"/>
      <c r="AK117" s="625"/>
      <c r="AL117" s="625"/>
      <c r="AM117" s="625"/>
      <c r="AN117" s="625"/>
    </row>
    <row r="118" spans="11:40" x14ac:dyDescent="0.25">
      <c r="K118" s="624"/>
      <c r="L118" s="625"/>
      <c r="M118" s="625"/>
      <c r="N118" s="625"/>
      <c r="O118" s="625"/>
      <c r="P118" s="625"/>
      <c r="Q118" s="625"/>
      <c r="R118" s="625"/>
      <c r="S118" s="625"/>
      <c r="T118" s="625"/>
      <c r="U118" s="625"/>
      <c r="V118" s="625"/>
      <c r="W118" s="625"/>
      <c r="X118" s="625"/>
      <c r="Y118" s="625"/>
      <c r="Z118" s="625"/>
      <c r="AA118" s="625"/>
      <c r="AB118" s="625"/>
      <c r="AC118" s="625"/>
      <c r="AD118" s="625"/>
      <c r="AE118" s="625"/>
      <c r="AF118" s="625"/>
      <c r="AG118" s="625"/>
      <c r="AH118" s="625"/>
      <c r="AI118" s="625"/>
      <c r="AJ118" s="625"/>
      <c r="AK118" s="625"/>
      <c r="AL118" s="625"/>
      <c r="AM118" s="625"/>
      <c r="AN118" s="625"/>
    </row>
  </sheetData>
  <sheetProtection sheet="1" objects="1" scenarios="1"/>
  <mergeCells count="3">
    <mergeCell ref="B2:B4"/>
    <mergeCell ref="F2:H2"/>
    <mergeCell ref="A2:A3"/>
  </mergeCells>
  <phoneticPr fontId="4" type="noConversion"/>
  <pageMargins left="0.75" right="0.75" top="1" bottom="1" header="0.5" footer="0.5"/>
  <pageSetup scale="72"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enableFormatConditionsCalculation="0">
    <tabColor indexed="42"/>
    <pageSetUpPr fitToPage="1"/>
  </sheetPr>
  <dimension ref="A1:O70"/>
  <sheetViews>
    <sheetView showGridLines="0" tabSelected="1" workbookViewId="0">
      <pane xSplit="2" ySplit="4" topLeftCell="C5"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x14ac:dyDescent="0.25">
      <c r="A1" s="146" t="s">
        <v>2535</v>
      </c>
      <c r="B1" s="146"/>
      <c r="C1" s="1997"/>
      <c r="D1" s="1997"/>
      <c r="E1" s="1997"/>
      <c r="F1" s="1997"/>
      <c r="G1" s="1997"/>
      <c r="H1" s="1997"/>
      <c r="I1" s="1997"/>
      <c r="J1" s="1997"/>
      <c r="K1" s="1997"/>
    </row>
    <row r="2" spans="1:11" ht="28.5" customHeight="1" x14ac:dyDescent="0.25">
      <c r="A2" s="2752" t="s">
        <v>588</v>
      </c>
      <c r="B2" s="2729" t="s">
        <v>429</v>
      </c>
      <c r="C2" s="1995" t="s">
        <v>2478</v>
      </c>
      <c r="D2" s="149" t="s">
        <v>2479</v>
      </c>
      <c r="E2" s="1996" t="s">
        <v>2480</v>
      </c>
      <c r="F2" s="2700" t="s">
        <v>2481</v>
      </c>
      <c r="G2" s="2701"/>
      <c r="H2" s="2705"/>
      <c r="I2" s="2697" t="s">
        <v>2482</v>
      </c>
      <c r="J2" s="2698"/>
      <c r="K2" s="2699"/>
    </row>
    <row r="3" spans="1:11" ht="25.5" x14ac:dyDescent="0.25">
      <c r="A3" s="2753"/>
      <c r="B3" s="2730"/>
      <c r="C3" s="2014" t="s">
        <v>1065</v>
      </c>
      <c r="D3" s="2017" t="s">
        <v>1065</v>
      </c>
      <c r="E3" s="152" t="s">
        <v>1065</v>
      </c>
      <c r="F3" s="150" t="s">
        <v>467</v>
      </c>
      <c r="G3" s="2017" t="s">
        <v>1807</v>
      </c>
      <c r="H3" s="152" t="s">
        <v>1808</v>
      </c>
      <c r="I3" s="150" t="s">
        <v>2483</v>
      </c>
      <c r="J3" s="2017" t="s">
        <v>2484</v>
      </c>
      <c r="K3" s="152" t="s">
        <v>2485</v>
      </c>
    </row>
    <row r="4" spans="1:11" x14ac:dyDescent="0.25">
      <c r="A4" s="179" t="s">
        <v>667</v>
      </c>
      <c r="B4" s="2735"/>
      <c r="C4" s="2011"/>
      <c r="D4" s="2011"/>
      <c r="E4" s="155"/>
      <c r="F4" s="154"/>
      <c r="G4" s="2011"/>
      <c r="H4" s="155"/>
      <c r="I4" s="154"/>
      <c r="J4" s="2011"/>
      <c r="K4" s="155"/>
    </row>
    <row r="5" spans="1:11" x14ac:dyDescent="0.25">
      <c r="A5" s="244" t="s">
        <v>178</v>
      </c>
      <c r="B5" s="278"/>
      <c r="C5" s="2448"/>
      <c r="D5" s="2448"/>
      <c r="E5" s="633"/>
      <c r="F5" s="2449"/>
      <c r="G5" s="2448"/>
      <c r="H5" s="2450"/>
      <c r="I5" s="2451"/>
      <c r="J5" s="2448"/>
      <c r="K5" s="633"/>
    </row>
    <row r="6" spans="1:11" ht="11.25" customHeight="1" x14ac:dyDescent="0.25">
      <c r="A6" s="245" t="s">
        <v>1576</v>
      </c>
      <c r="B6" s="279"/>
      <c r="C6" s="2452">
        <v>0</v>
      </c>
      <c r="D6" s="2452">
        <v>0</v>
      </c>
      <c r="E6" s="2453">
        <v>0</v>
      </c>
      <c r="F6" s="2454">
        <v>0</v>
      </c>
      <c r="G6" s="2452">
        <v>0</v>
      </c>
      <c r="H6" s="2455">
        <v>0</v>
      </c>
      <c r="I6" s="2456">
        <v>0</v>
      </c>
      <c r="J6" s="2452">
        <v>0</v>
      </c>
      <c r="K6" s="2453">
        <v>0</v>
      </c>
    </row>
    <row r="7" spans="1:11" ht="11.25" customHeight="1" x14ac:dyDescent="0.25">
      <c r="A7" s="245" t="s">
        <v>1577</v>
      </c>
      <c r="B7" s="279"/>
      <c r="C7" s="2452">
        <v>0</v>
      </c>
      <c r="D7" s="2452">
        <v>0</v>
      </c>
      <c r="E7" s="2453">
        <v>0</v>
      </c>
      <c r="F7" s="2454">
        <v>0</v>
      </c>
      <c r="G7" s="2452">
        <v>0</v>
      </c>
      <c r="H7" s="2455">
        <v>0</v>
      </c>
      <c r="I7" s="2456">
        <v>0</v>
      </c>
      <c r="J7" s="2452">
        <v>0</v>
      </c>
      <c r="K7" s="2453">
        <v>0</v>
      </c>
    </row>
    <row r="8" spans="1:11" ht="11.25" customHeight="1" x14ac:dyDescent="0.25">
      <c r="A8" s="245" t="s">
        <v>1579</v>
      </c>
      <c r="B8" s="279"/>
      <c r="C8" s="2452">
        <v>2322990.15</v>
      </c>
      <c r="D8" s="2452">
        <v>5620169</v>
      </c>
      <c r="E8" s="2453">
        <v>5910782</v>
      </c>
      <c r="F8" s="2454">
        <v>10567371.363000005</v>
      </c>
      <c r="G8" s="2452">
        <v>1425170</v>
      </c>
      <c r="H8" s="2455">
        <v>1425170</v>
      </c>
      <c r="I8" s="2456">
        <v>1485000</v>
      </c>
      <c r="J8" s="2452">
        <v>1574000</v>
      </c>
      <c r="K8" s="2453">
        <v>1668000</v>
      </c>
    </row>
    <row r="9" spans="1:11" ht="11.25" customHeight="1" x14ac:dyDescent="0.25">
      <c r="A9" s="245" t="s">
        <v>1578</v>
      </c>
      <c r="B9" s="279"/>
      <c r="C9" s="2452">
        <v>0</v>
      </c>
      <c r="D9" s="2452">
        <v>0</v>
      </c>
      <c r="E9" s="2453">
        <v>0</v>
      </c>
      <c r="F9" s="2454">
        <v>0</v>
      </c>
      <c r="G9" s="2452">
        <v>0</v>
      </c>
      <c r="H9" s="2455">
        <v>0</v>
      </c>
      <c r="I9" s="2456">
        <v>0</v>
      </c>
      <c r="J9" s="2452">
        <v>0</v>
      </c>
      <c r="K9" s="2453">
        <v>0</v>
      </c>
    </row>
    <row r="10" spans="1:11" ht="11.25" customHeight="1" x14ac:dyDescent="0.25">
      <c r="A10" s="245" t="s">
        <v>1580</v>
      </c>
      <c r="B10" s="279"/>
      <c r="C10" s="2452">
        <v>0</v>
      </c>
      <c r="D10" s="2452">
        <v>0</v>
      </c>
      <c r="E10" s="2453">
        <v>0</v>
      </c>
      <c r="F10" s="2454">
        <v>0</v>
      </c>
      <c r="G10" s="2452">
        <v>0</v>
      </c>
      <c r="H10" s="2455"/>
      <c r="I10" s="2456">
        <v>0</v>
      </c>
      <c r="J10" s="2452">
        <v>0</v>
      </c>
      <c r="K10" s="2453">
        <v>0</v>
      </c>
    </row>
    <row r="11" spans="1:11" ht="11.25" customHeight="1" x14ac:dyDescent="0.25">
      <c r="A11" s="245" t="s">
        <v>1581</v>
      </c>
      <c r="B11" s="279"/>
      <c r="C11" s="2452">
        <v>0</v>
      </c>
      <c r="D11" s="2452">
        <v>0</v>
      </c>
      <c r="E11" s="2453">
        <v>0</v>
      </c>
      <c r="F11" s="2454">
        <v>0</v>
      </c>
      <c r="G11" s="2452">
        <v>0</v>
      </c>
      <c r="H11" s="2455">
        <v>0</v>
      </c>
      <c r="I11" s="2456">
        <v>0</v>
      </c>
      <c r="J11" s="2452">
        <v>0</v>
      </c>
      <c r="K11" s="2453">
        <v>0</v>
      </c>
    </row>
    <row r="12" spans="1:11" ht="11.25" customHeight="1" x14ac:dyDescent="0.25">
      <c r="A12" s="245" t="s">
        <v>1582</v>
      </c>
      <c r="B12" s="279"/>
      <c r="C12" s="2452">
        <v>0</v>
      </c>
      <c r="D12" s="2452">
        <v>0</v>
      </c>
      <c r="E12" s="2453">
        <v>0</v>
      </c>
      <c r="F12" s="2454">
        <v>0</v>
      </c>
      <c r="G12" s="2452">
        <v>0</v>
      </c>
      <c r="H12" s="2455">
        <v>0</v>
      </c>
      <c r="I12" s="2456">
        <v>0</v>
      </c>
      <c r="J12" s="2452">
        <v>0</v>
      </c>
      <c r="K12" s="2453">
        <v>0</v>
      </c>
    </row>
    <row r="13" spans="1:11" ht="11.25" customHeight="1" x14ac:dyDescent="0.25">
      <c r="A13" s="245" t="s">
        <v>1583</v>
      </c>
      <c r="B13" s="279"/>
      <c r="C13" s="2452">
        <v>0</v>
      </c>
      <c r="D13" s="2452">
        <v>0</v>
      </c>
      <c r="E13" s="2453">
        <v>0</v>
      </c>
      <c r="F13" s="2454">
        <v>0</v>
      </c>
      <c r="G13" s="2452">
        <v>0</v>
      </c>
      <c r="H13" s="2455">
        <v>0</v>
      </c>
      <c r="I13" s="2456">
        <v>0</v>
      </c>
      <c r="J13" s="2452">
        <v>0</v>
      </c>
      <c r="K13" s="2453">
        <v>0</v>
      </c>
    </row>
    <row r="14" spans="1:11" ht="11.25" customHeight="1" x14ac:dyDescent="0.25">
      <c r="A14" s="245" t="s">
        <v>1584</v>
      </c>
      <c r="B14" s="279"/>
      <c r="C14" s="2452">
        <v>0</v>
      </c>
      <c r="D14" s="2452">
        <v>0</v>
      </c>
      <c r="E14" s="2453">
        <v>0</v>
      </c>
      <c r="F14" s="2454">
        <v>0</v>
      </c>
      <c r="G14" s="2452">
        <v>0</v>
      </c>
      <c r="H14" s="2455">
        <v>0</v>
      </c>
      <c r="I14" s="2456">
        <v>0</v>
      </c>
      <c r="J14" s="2452">
        <v>0</v>
      </c>
      <c r="K14" s="2453">
        <v>0</v>
      </c>
    </row>
    <row r="15" spans="1:11" ht="11.25" customHeight="1" x14ac:dyDescent="0.25">
      <c r="A15" s="245" t="s">
        <v>1585</v>
      </c>
      <c r="B15" s="279"/>
      <c r="C15" s="2452">
        <v>0</v>
      </c>
      <c r="D15" s="2452">
        <v>0</v>
      </c>
      <c r="E15" s="2453">
        <v>0</v>
      </c>
      <c r="F15" s="2454">
        <v>0</v>
      </c>
      <c r="G15" s="2452">
        <v>0</v>
      </c>
      <c r="H15" s="2455">
        <v>0</v>
      </c>
      <c r="I15" s="2456">
        <v>0</v>
      </c>
      <c r="J15" s="2452">
        <v>0</v>
      </c>
      <c r="K15" s="2453">
        <v>0</v>
      </c>
    </row>
    <row r="16" spans="1:11" ht="5.0999999999999996" customHeight="1" x14ac:dyDescent="0.25">
      <c r="A16" s="265"/>
      <c r="B16" s="279"/>
      <c r="C16" s="858"/>
      <c r="D16" s="858"/>
      <c r="E16" s="859"/>
      <c r="F16" s="860"/>
      <c r="G16" s="858"/>
      <c r="H16" s="861"/>
      <c r="I16" s="862"/>
      <c r="J16" s="858"/>
      <c r="K16" s="859"/>
    </row>
    <row r="17" spans="1:11" ht="11.25" customHeight="1" x14ac:dyDescent="0.25">
      <c r="A17" s="257" t="s">
        <v>177</v>
      </c>
      <c r="B17" s="279">
        <v>1</v>
      </c>
      <c r="C17" s="2457">
        <v>2322990.15</v>
      </c>
      <c r="D17" s="2457">
        <v>5620169</v>
      </c>
      <c r="E17" s="2458">
        <v>5910782</v>
      </c>
      <c r="F17" s="2459">
        <v>10567371.363000005</v>
      </c>
      <c r="G17" s="2457">
        <v>1425170</v>
      </c>
      <c r="H17" s="2460">
        <v>1425170</v>
      </c>
      <c r="I17" s="2461">
        <v>1485000</v>
      </c>
      <c r="J17" s="2457">
        <v>1574000</v>
      </c>
      <c r="K17" s="2458">
        <v>1668000</v>
      </c>
    </row>
    <row r="18" spans="1:11" ht="5.0999999999999996" customHeight="1" x14ac:dyDescent="0.25">
      <c r="A18" s="265"/>
      <c r="B18" s="279"/>
      <c r="C18" s="2462"/>
      <c r="D18" s="2462"/>
      <c r="E18" s="633"/>
      <c r="F18" s="2449"/>
      <c r="G18" s="2462"/>
      <c r="H18" s="2450"/>
      <c r="I18" s="2463"/>
      <c r="J18" s="2462"/>
      <c r="K18" s="633"/>
    </row>
    <row r="19" spans="1:11" ht="11.25" customHeight="1" x14ac:dyDescent="0.25">
      <c r="A19" s="244" t="s">
        <v>680</v>
      </c>
      <c r="B19" s="279"/>
      <c r="C19" s="2462"/>
      <c r="D19" s="2462"/>
      <c r="E19" s="633"/>
      <c r="F19" s="2449"/>
      <c r="G19" s="2462"/>
      <c r="H19" s="2450"/>
      <c r="I19" s="2463"/>
      <c r="J19" s="2462"/>
      <c r="K19" s="633"/>
    </row>
    <row r="20" spans="1:11" ht="11.25" customHeight="1" x14ac:dyDescent="0.25">
      <c r="A20" s="245" t="s">
        <v>1576</v>
      </c>
      <c r="B20" s="279"/>
      <c r="C20" s="2452">
        <v>0</v>
      </c>
      <c r="D20" s="2452">
        <v>0</v>
      </c>
      <c r="E20" s="2453">
        <v>0</v>
      </c>
      <c r="F20" s="2454">
        <v>0</v>
      </c>
      <c r="G20" s="2452">
        <v>0</v>
      </c>
      <c r="H20" s="2455">
        <v>0</v>
      </c>
      <c r="I20" s="2456">
        <v>0</v>
      </c>
      <c r="J20" s="2452">
        <v>0</v>
      </c>
      <c r="K20" s="2453">
        <v>0</v>
      </c>
    </row>
    <row r="21" spans="1:11" ht="11.25" customHeight="1" x14ac:dyDescent="0.25">
      <c r="A21" s="245" t="s">
        <v>1577</v>
      </c>
      <c r="B21" s="279"/>
      <c r="C21" s="2452">
        <v>0</v>
      </c>
      <c r="D21" s="2452">
        <v>0</v>
      </c>
      <c r="E21" s="2453">
        <v>0</v>
      </c>
      <c r="F21" s="2454">
        <v>0</v>
      </c>
      <c r="G21" s="2452">
        <v>0</v>
      </c>
      <c r="H21" s="2455">
        <v>0</v>
      </c>
      <c r="I21" s="2456">
        <v>0</v>
      </c>
      <c r="J21" s="2452">
        <v>0</v>
      </c>
      <c r="K21" s="2453">
        <v>0</v>
      </c>
    </row>
    <row r="22" spans="1:11" ht="11.25" customHeight="1" x14ac:dyDescent="0.25">
      <c r="A22" s="245" t="s">
        <v>1579</v>
      </c>
      <c r="B22" s="279"/>
      <c r="C22" s="2452">
        <v>0</v>
      </c>
      <c r="D22" s="2452">
        <v>0</v>
      </c>
      <c r="E22" s="2453">
        <v>0</v>
      </c>
      <c r="F22" s="2454">
        <v>0</v>
      </c>
      <c r="G22" s="2452">
        <v>0</v>
      </c>
      <c r="H22" s="2455">
        <v>0</v>
      </c>
      <c r="I22" s="2456">
        <v>0</v>
      </c>
      <c r="J22" s="2452">
        <v>0</v>
      </c>
      <c r="K22" s="2453">
        <v>0</v>
      </c>
    </row>
    <row r="23" spans="1:11" ht="11.25" customHeight="1" x14ac:dyDescent="0.25">
      <c r="A23" s="245" t="s">
        <v>1578</v>
      </c>
      <c r="B23" s="279"/>
      <c r="C23" s="2452">
        <v>0</v>
      </c>
      <c r="D23" s="2452">
        <v>0</v>
      </c>
      <c r="E23" s="2453">
        <v>0</v>
      </c>
      <c r="F23" s="2454">
        <v>0</v>
      </c>
      <c r="G23" s="2452">
        <v>0</v>
      </c>
      <c r="H23" s="2455">
        <v>0</v>
      </c>
      <c r="I23" s="2456">
        <v>0</v>
      </c>
      <c r="J23" s="2452">
        <v>0</v>
      </c>
      <c r="K23" s="2453">
        <v>0</v>
      </c>
    </row>
    <row r="24" spans="1:11" ht="11.25" customHeight="1" x14ac:dyDescent="0.25">
      <c r="A24" s="245" t="s">
        <v>1580</v>
      </c>
      <c r="B24" s="279"/>
      <c r="C24" s="2452">
        <v>0</v>
      </c>
      <c r="D24" s="2452">
        <v>0</v>
      </c>
      <c r="E24" s="2453">
        <v>0</v>
      </c>
      <c r="F24" s="2454">
        <v>0</v>
      </c>
      <c r="G24" s="2452">
        <v>0</v>
      </c>
      <c r="H24" s="2455">
        <v>0</v>
      </c>
      <c r="I24" s="2456">
        <v>0</v>
      </c>
      <c r="J24" s="2452">
        <v>0</v>
      </c>
      <c r="K24" s="2453">
        <v>0</v>
      </c>
    </row>
    <row r="25" spans="1:11" ht="11.25" customHeight="1" x14ac:dyDescent="0.25">
      <c r="A25" s="245" t="s">
        <v>1581</v>
      </c>
      <c r="B25" s="279"/>
      <c r="C25" s="2452">
        <v>0</v>
      </c>
      <c r="D25" s="2452">
        <v>0</v>
      </c>
      <c r="E25" s="2453">
        <v>0</v>
      </c>
      <c r="F25" s="2454">
        <v>0</v>
      </c>
      <c r="G25" s="2452">
        <v>0</v>
      </c>
      <c r="H25" s="2455">
        <v>0</v>
      </c>
      <c r="I25" s="2456">
        <v>0</v>
      </c>
      <c r="J25" s="2452">
        <v>0</v>
      </c>
      <c r="K25" s="2453">
        <v>0</v>
      </c>
    </row>
    <row r="26" spans="1:11" ht="11.25" customHeight="1" x14ac:dyDescent="0.25">
      <c r="A26" s="245" t="s">
        <v>1582</v>
      </c>
      <c r="B26" s="279"/>
      <c r="C26" s="2452">
        <v>0</v>
      </c>
      <c r="D26" s="2452">
        <v>0</v>
      </c>
      <c r="E26" s="2453">
        <v>0</v>
      </c>
      <c r="F26" s="2454">
        <v>0</v>
      </c>
      <c r="G26" s="2452">
        <v>0</v>
      </c>
      <c r="H26" s="2455">
        <v>0</v>
      </c>
      <c r="I26" s="2456">
        <v>0</v>
      </c>
      <c r="J26" s="2452">
        <v>0</v>
      </c>
      <c r="K26" s="2453">
        <v>0</v>
      </c>
    </row>
    <row r="27" spans="1:11" ht="11.25" customHeight="1" x14ac:dyDescent="0.25">
      <c r="A27" s="245" t="s">
        <v>1583</v>
      </c>
      <c r="B27" s="279"/>
      <c r="C27" s="2452">
        <v>0</v>
      </c>
      <c r="D27" s="2452">
        <v>0</v>
      </c>
      <c r="E27" s="2453">
        <v>0</v>
      </c>
      <c r="F27" s="2454">
        <v>0</v>
      </c>
      <c r="G27" s="2452">
        <v>0</v>
      </c>
      <c r="H27" s="2455">
        <v>0</v>
      </c>
      <c r="I27" s="2456">
        <v>0</v>
      </c>
      <c r="J27" s="2452">
        <v>0</v>
      </c>
      <c r="K27" s="2453">
        <v>0</v>
      </c>
    </row>
    <row r="28" spans="1:11" ht="11.25" customHeight="1" x14ac:dyDescent="0.25">
      <c r="A28" s="245" t="s">
        <v>1584</v>
      </c>
      <c r="B28" s="279"/>
      <c r="C28" s="2452">
        <v>0</v>
      </c>
      <c r="D28" s="2452">
        <v>0</v>
      </c>
      <c r="E28" s="2453">
        <v>0</v>
      </c>
      <c r="F28" s="2454">
        <v>0</v>
      </c>
      <c r="G28" s="2452">
        <v>0</v>
      </c>
      <c r="H28" s="2455">
        <v>0</v>
      </c>
      <c r="I28" s="2456">
        <v>0</v>
      </c>
      <c r="J28" s="2452">
        <v>0</v>
      </c>
      <c r="K28" s="2453">
        <v>0</v>
      </c>
    </row>
    <row r="29" spans="1:11" ht="5.0999999999999996" customHeight="1" x14ac:dyDescent="0.25">
      <c r="A29" s="265"/>
      <c r="B29" s="279"/>
      <c r="C29" s="2462"/>
      <c r="D29" s="2462"/>
      <c r="E29" s="633"/>
      <c r="F29" s="2449"/>
      <c r="G29" s="2462"/>
      <c r="H29" s="2450"/>
      <c r="I29" s="2463"/>
      <c r="J29" s="2462"/>
      <c r="K29" s="633"/>
    </row>
    <row r="30" spans="1:11" ht="11.25" customHeight="1" x14ac:dyDescent="0.25">
      <c r="A30" s="257" t="s">
        <v>176</v>
      </c>
      <c r="B30" s="279"/>
      <c r="C30" s="2457">
        <v>0</v>
      </c>
      <c r="D30" s="2464">
        <v>0</v>
      </c>
      <c r="E30" s="2465">
        <v>0</v>
      </c>
      <c r="F30" s="2466">
        <v>0</v>
      </c>
      <c r="G30" s="2464">
        <v>0</v>
      </c>
      <c r="H30" s="2467">
        <v>0</v>
      </c>
      <c r="I30" s="2468">
        <v>0</v>
      </c>
      <c r="J30" s="2464">
        <v>0</v>
      </c>
      <c r="K30" s="2465">
        <v>0</v>
      </c>
    </row>
    <row r="31" spans="1:11" ht="5.0999999999999996" customHeight="1" x14ac:dyDescent="0.25">
      <c r="A31" s="265"/>
      <c r="B31" s="279"/>
      <c r="C31" s="2462"/>
      <c r="D31" s="2462"/>
      <c r="E31" s="633"/>
      <c r="F31" s="2449"/>
      <c r="G31" s="2462"/>
      <c r="H31" s="2450"/>
      <c r="I31" s="2463"/>
      <c r="J31" s="2462"/>
      <c r="K31" s="633"/>
    </row>
    <row r="32" spans="1:11" x14ac:dyDescent="0.25">
      <c r="A32" s="268" t="s">
        <v>175</v>
      </c>
      <c r="B32" s="626"/>
      <c r="C32" s="2469">
        <v>2322990.15</v>
      </c>
      <c r="D32" s="2469">
        <v>5620169</v>
      </c>
      <c r="E32" s="2470">
        <v>5910782</v>
      </c>
      <c r="F32" s="2471">
        <v>10567371.363000005</v>
      </c>
      <c r="G32" s="2469">
        <v>1425170</v>
      </c>
      <c r="H32" s="2472">
        <v>1425170</v>
      </c>
      <c r="I32" s="2473">
        <v>1485000</v>
      </c>
      <c r="J32" s="2469">
        <v>1574000</v>
      </c>
      <c r="K32" s="2470">
        <v>1668000</v>
      </c>
    </row>
    <row r="33" spans="1:15" ht="6" customHeight="1" x14ac:dyDescent="0.25">
      <c r="A33" s="569"/>
      <c r="B33" s="232"/>
      <c r="C33" s="331"/>
      <c r="D33" s="331"/>
      <c r="E33" s="331"/>
      <c r="F33" s="331"/>
      <c r="G33" s="331"/>
      <c r="H33" s="331"/>
      <c r="I33" s="331"/>
      <c r="J33" s="331"/>
      <c r="K33" s="331"/>
      <c r="L33" s="241"/>
      <c r="M33" s="241"/>
      <c r="N33" s="241"/>
    </row>
    <row r="34" spans="1:15" s="625" customFormat="1" ht="10.5" customHeight="1" x14ac:dyDescent="0.25">
      <c r="A34" s="1009" t="s">
        <v>986</v>
      </c>
      <c r="B34" s="837"/>
      <c r="C34" s="1777"/>
      <c r="D34" s="1777"/>
      <c r="E34" s="1777"/>
      <c r="F34" s="1777"/>
      <c r="G34" s="1777"/>
      <c r="H34" s="1777"/>
      <c r="I34" s="1777"/>
      <c r="J34" s="1777"/>
      <c r="K34" s="1777"/>
      <c r="L34" s="850"/>
      <c r="M34" s="850"/>
      <c r="N34" s="850"/>
    </row>
    <row r="35" spans="1:15" s="625" customFormat="1" ht="10.5" customHeight="1" x14ac:dyDescent="0.25">
      <c r="A35" s="1010" t="s">
        <v>1283</v>
      </c>
      <c r="B35" s="837"/>
      <c r="C35" s="839"/>
      <c r="D35" s="2083"/>
      <c r="E35" s="839"/>
      <c r="F35" s="839"/>
      <c r="G35" s="839"/>
      <c r="H35" s="839"/>
      <c r="I35" s="839"/>
      <c r="J35" s="839"/>
      <c r="K35" s="839"/>
    </row>
    <row r="36" spans="1:15" ht="10.5" customHeight="1" x14ac:dyDescent="0.25">
      <c r="A36" s="275" t="s">
        <v>551</v>
      </c>
      <c r="B36" s="232"/>
      <c r="C36" s="393">
        <v>0</v>
      </c>
      <c r="D36" s="393">
        <v>0</v>
      </c>
      <c r="E36" s="519">
        <v>0</v>
      </c>
      <c r="F36" s="519">
        <v>0</v>
      </c>
      <c r="G36" s="519">
        <v>0</v>
      </c>
      <c r="H36" s="519">
        <v>0</v>
      </c>
      <c r="I36" s="519">
        <v>0</v>
      </c>
      <c r="J36" s="519">
        <v>0</v>
      </c>
      <c r="K36" s="519">
        <v>0</v>
      </c>
    </row>
    <row r="37" spans="1:15" ht="11.25" customHeight="1" x14ac:dyDescent="0.25">
      <c r="O37" s="338"/>
    </row>
    <row r="38" spans="1:15" ht="11.25" customHeight="1" x14ac:dyDescent="0.25"/>
    <row r="39" spans="1:15" ht="11.25" customHeight="1" x14ac:dyDescent="0.25"/>
    <row r="40" spans="1:15" ht="11.25" customHeight="1" x14ac:dyDescent="0.25"/>
    <row r="41" spans="1:15" ht="11.25" customHeight="1" x14ac:dyDescent="0.25"/>
    <row r="42" spans="1:15" ht="11.25" customHeight="1" x14ac:dyDescent="0.25"/>
    <row r="43" spans="1:15" ht="11.25" customHeight="1" x14ac:dyDescent="0.25"/>
    <row r="44" spans="1:15" ht="11.25" customHeight="1" x14ac:dyDescent="0.25"/>
    <row r="45" spans="1:15" ht="11.25" customHeight="1" x14ac:dyDescent="0.25"/>
    <row r="46" spans="1:15" ht="11.25" customHeight="1" x14ac:dyDescent="0.25"/>
    <row r="47" spans="1:15" ht="11.25" customHeight="1" x14ac:dyDescent="0.25"/>
    <row r="48" spans="1:15"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sheetData>
  <mergeCells count="4">
    <mergeCell ref="F2:H2"/>
    <mergeCell ref="I2:K2"/>
    <mergeCell ref="B2:B4"/>
    <mergeCell ref="A2:A3"/>
  </mergeCells>
  <phoneticPr fontId="4" type="noConversion"/>
  <pageMargins left="0.75" right="0.75" top="1" bottom="1" header="0.5" footer="0.5"/>
  <pageSetup scale="77" orientation="portrait" r:id="rId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5" enableFormatConditionsCalculation="0">
    <tabColor indexed="42"/>
    <pageSetUpPr fitToPage="1"/>
  </sheetPr>
  <dimension ref="A1:T63"/>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338" customWidth="1"/>
    <col min="2" max="2" width="3" style="1928" customWidth="1"/>
    <col min="3" max="12" width="13.7109375" style="338" customWidth="1"/>
    <col min="13" max="13" width="9.85546875" style="148" customWidth="1"/>
    <col min="14" max="14" width="9.85546875" style="148" bestFit="1" customWidth="1"/>
    <col min="15" max="16" width="9.85546875" style="148" customWidth="1"/>
    <col min="17" max="17" width="9.5703125" style="148" customWidth="1"/>
    <col min="18" max="18" width="9.85546875" style="148" customWidth="1"/>
    <col min="19" max="21" width="9.5703125" style="148" customWidth="1"/>
    <col min="22" max="22" width="9.85546875" style="148" customWidth="1"/>
    <col min="23" max="25" width="9.5703125" style="148" customWidth="1"/>
    <col min="26" max="27" width="9.85546875" style="148" customWidth="1"/>
    <col min="28" max="16384" width="9.140625" style="148"/>
  </cols>
  <sheetData>
    <row r="1" spans="1:12" ht="13.5" x14ac:dyDescent="0.25">
      <c r="A1" s="1997" t="s">
        <v>2536</v>
      </c>
      <c r="B1" s="1997"/>
      <c r="C1" s="1997"/>
      <c r="D1" s="1997"/>
      <c r="E1" s="1997"/>
      <c r="F1" s="1997"/>
      <c r="G1" s="1997"/>
      <c r="H1" s="1997"/>
      <c r="I1" s="1997"/>
      <c r="J1" s="1997"/>
      <c r="K1" s="1997"/>
      <c r="L1" s="1997"/>
    </row>
    <row r="2" spans="1:12" ht="33.75" customHeight="1" x14ac:dyDescent="0.25">
      <c r="A2" s="2000" t="s">
        <v>552</v>
      </c>
      <c r="B2" s="627" t="s">
        <v>429</v>
      </c>
      <c r="C2" s="149" t="s">
        <v>554</v>
      </c>
      <c r="D2" s="2748" t="s">
        <v>555</v>
      </c>
      <c r="E2" s="2006" t="s">
        <v>2064</v>
      </c>
      <c r="F2" s="2006" t="s">
        <v>2063</v>
      </c>
      <c r="G2" s="2006" t="s">
        <v>2069</v>
      </c>
      <c r="H2" s="2006" t="s">
        <v>2226</v>
      </c>
      <c r="I2" s="2006" t="s">
        <v>2065</v>
      </c>
      <c r="J2" s="2736" t="s">
        <v>556</v>
      </c>
      <c r="K2" s="1994" t="s">
        <v>557</v>
      </c>
      <c r="L2" s="628" t="s">
        <v>558</v>
      </c>
    </row>
    <row r="3" spans="1:12" x14ac:dyDescent="0.25">
      <c r="A3" s="141" t="s">
        <v>553</v>
      </c>
      <c r="B3" s="629">
        <v>1</v>
      </c>
      <c r="C3" s="2011" t="s">
        <v>1586</v>
      </c>
      <c r="D3" s="2749"/>
      <c r="E3" s="2007"/>
      <c r="F3" s="2007"/>
      <c r="G3" s="2007"/>
      <c r="H3" s="2007"/>
      <c r="I3" s="2007"/>
      <c r="J3" s="2737"/>
      <c r="K3" s="630" t="s">
        <v>1297</v>
      </c>
      <c r="L3" s="631"/>
    </row>
    <row r="4" spans="1:12" x14ac:dyDescent="0.25">
      <c r="A4" s="651" t="s">
        <v>178</v>
      </c>
      <c r="B4" s="1924"/>
      <c r="C4" s="318"/>
      <c r="D4" s="1924"/>
      <c r="E4" s="1924"/>
      <c r="F4" s="1924"/>
      <c r="G4" s="1924"/>
      <c r="H4" s="1924"/>
      <c r="I4" s="1924"/>
      <c r="J4" s="2474"/>
      <c r="K4" s="2475"/>
      <c r="L4" s="2476"/>
    </row>
    <row r="5" spans="1:12" ht="11.25" customHeight="1" x14ac:dyDescent="0.25">
      <c r="A5" s="2477" t="s">
        <v>2408</v>
      </c>
      <c r="B5" s="1925"/>
      <c r="C5" s="876" t="s">
        <v>2409</v>
      </c>
      <c r="D5" s="1925" t="s">
        <v>2070</v>
      </c>
      <c r="E5" s="1925" t="s">
        <v>428</v>
      </c>
      <c r="F5" s="1925" t="s">
        <v>1692</v>
      </c>
      <c r="G5" s="1925" t="s">
        <v>2410</v>
      </c>
      <c r="H5" s="1925">
        <v>0</v>
      </c>
      <c r="I5" s="1925" t="s">
        <v>2411</v>
      </c>
      <c r="J5" s="2478" t="s">
        <v>2412</v>
      </c>
      <c r="K5" s="2454">
        <v>75600</v>
      </c>
      <c r="L5" s="2479">
        <v>5609.52</v>
      </c>
    </row>
    <row r="6" spans="1:12" ht="11.25" customHeight="1" x14ac:dyDescent="0.25">
      <c r="A6" s="2477"/>
      <c r="B6" s="1925"/>
      <c r="C6" s="876"/>
      <c r="D6" s="1925"/>
      <c r="E6" s="1925"/>
      <c r="F6" s="1925"/>
      <c r="G6" s="1925"/>
      <c r="H6" s="1925"/>
      <c r="I6" s="1925"/>
      <c r="J6" s="2478" t="s">
        <v>2413</v>
      </c>
      <c r="K6" s="2454">
        <v>1409400</v>
      </c>
      <c r="L6" s="2479">
        <v>104577.48</v>
      </c>
    </row>
    <row r="7" spans="1:12" ht="11.25" customHeight="1" x14ac:dyDescent="0.25">
      <c r="A7" s="2477"/>
      <c r="B7" s="1925"/>
      <c r="C7" s="876"/>
      <c r="D7" s="1925"/>
      <c r="E7" s="1925"/>
      <c r="F7" s="1925"/>
      <c r="G7" s="1925"/>
      <c r="H7" s="1925"/>
      <c r="I7" s="1925"/>
      <c r="J7" s="2480"/>
      <c r="K7" s="2454"/>
      <c r="L7" s="2479"/>
    </row>
    <row r="8" spans="1:12" ht="11.25" customHeight="1" x14ac:dyDescent="0.25">
      <c r="A8" s="2477"/>
      <c r="B8" s="1925"/>
      <c r="C8" s="876"/>
      <c r="D8" s="1925"/>
      <c r="E8" s="1925"/>
      <c r="F8" s="1925"/>
      <c r="G8" s="1925"/>
      <c r="H8" s="1925"/>
      <c r="I8" s="1925"/>
      <c r="J8" s="2480"/>
      <c r="K8" s="2454"/>
      <c r="L8" s="2479"/>
    </row>
    <row r="9" spans="1:12" ht="11.25" customHeight="1" x14ac:dyDescent="0.25">
      <c r="A9" s="2477"/>
      <c r="B9" s="1925"/>
      <c r="C9" s="876"/>
      <c r="D9" s="1925"/>
      <c r="E9" s="1925"/>
      <c r="F9" s="1925"/>
      <c r="G9" s="1925"/>
      <c r="H9" s="1925"/>
      <c r="I9" s="1925"/>
      <c r="J9" s="2480"/>
      <c r="K9" s="2454"/>
      <c r="L9" s="2479"/>
    </row>
    <row r="10" spans="1:12" ht="11.25" customHeight="1" x14ac:dyDescent="0.25">
      <c r="A10" s="2477"/>
      <c r="B10" s="1925"/>
      <c r="C10" s="876"/>
      <c r="D10" s="1925"/>
      <c r="E10" s="1925"/>
      <c r="F10" s="1925"/>
      <c r="G10" s="1925"/>
      <c r="H10" s="1925"/>
      <c r="I10" s="1925"/>
      <c r="J10" s="2480"/>
      <c r="K10" s="2454"/>
      <c r="L10" s="2479"/>
    </row>
    <row r="11" spans="1:12" ht="11.25" customHeight="1" x14ac:dyDescent="0.25">
      <c r="A11" s="2477"/>
      <c r="B11" s="1925"/>
      <c r="C11" s="876"/>
      <c r="D11" s="1925"/>
      <c r="E11" s="1925"/>
      <c r="F11" s="1925"/>
      <c r="G11" s="1925"/>
      <c r="H11" s="1925"/>
      <c r="I11" s="1925"/>
      <c r="J11" s="2480"/>
      <c r="K11" s="2454"/>
      <c r="L11" s="2479"/>
    </row>
    <row r="12" spans="1:12" ht="11.25" customHeight="1" x14ac:dyDescent="0.25">
      <c r="A12" s="566" t="s">
        <v>177</v>
      </c>
      <c r="B12" s="1924"/>
      <c r="C12" s="2481"/>
      <c r="D12" s="2482"/>
      <c r="E12" s="2482"/>
      <c r="F12" s="2482"/>
      <c r="G12" s="2482"/>
      <c r="H12" s="2482"/>
      <c r="I12" s="2482"/>
      <c r="J12" s="2483"/>
      <c r="K12" s="2460">
        <v>1485000</v>
      </c>
      <c r="L12" s="2484">
        <v>110187</v>
      </c>
    </row>
    <row r="13" spans="1:12" ht="11.25" customHeight="1" x14ac:dyDescent="0.25">
      <c r="A13" s="658"/>
      <c r="B13" s="1924"/>
      <c r="C13" s="318"/>
      <c r="D13" s="1924"/>
      <c r="E13" s="1924"/>
      <c r="F13" s="1924"/>
      <c r="G13" s="1924"/>
      <c r="H13" s="1924"/>
      <c r="I13" s="1924"/>
      <c r="J13" s="2485"/>
      <c r="K13" s="2449"/>
      <c r="L13" s="2486"/>
    </row>
    <row r="14" spans="1:12" ht="11.25" customHeight="1" x14ac:dyDescent="0.25">
      <c r="A14" s="651" t="s">
        <v>680</v>
      </c>
      <c r="B14" s="1924"/>
      <c r="C14" s="318"/>
      <c r="D14" s="1924"/>
      <c r="E14" s="1924"/>
      <c r="F14" s="1924"/>
      <c r="G14" s="1924"/>
      <c r="H14" s="1924"/>
      <c r="I14" s="1924"/>
      <c r="J14" s="2485"/>
      <c r="K14" s="2449"/>
      <c r="L14" s="2486"/>
    </row>
    <row r="15" spans="1:12" ht="11.25" customHeight="1" x14ac:dyDescent="0.25">
      <c r="A15" s="2477"/>
      <c r="B15" s="1925"/>
      <c r="C15" s="876"/>
      <c r="D15" s="1925"/>
      <c r="E15" s="1925"/>
      <c r="F15" s="1925"/>
      <c r="G15" s="1925"/>
      <c r="H15" s="1925"/>
      <c r="I15" s="1925"/>
      <c r="J15" s="2480"/>
      <c r="K15" s="2454"/>
      <c r="L15" s="2479"/>
    </row>
    <row r="16" spans="1:12" ht="11.25" customHeight="1" x14ac:dyDescent="0.25">
      <c r="A16" s="2477"/>
      <c r="B16" s="1925"/>
      <c r="C16" s="876"/>
      <c r="D16" s="1925"/>
      <c r="E16" s="1925"/>
      <c r="F16" s="1925"/>
      <c r="G16" s="1925"/>
      <c r="H16" s="1925"/>
      <c r="I16" s="1925"/>
      <c r="J16" s="2480"/>
      <c r="K16" s="2454"/>
      <c r="L16" s="2479"/>
    </row>
    <row r="17" spans="1:18" ht="11.25" customHeight="1" x14ac:dyDescent="0.25">
      <c r="A17" s="2477"/>
      <c r="B17" s="1925"/>
      <c r="C17" s="876"/>
      <c r="D17" s="1925"/>
      <c r="E17" s="1925"/>
      <c r="F17" s="1925"/>
      <c r="G17" s="1925"/>
      <c r="H17" s="1925"/>
      <c r="I17" s="1925"/>
      <c r="J17" s="2480"/>
      <c r="K17" s="2454"/>
      <c r="L17" s="2479"/>
    </row>
    <row r="18" spans="1:18" ht="11.25" customHeight="1" x14ac:dyDescent="0.25">
      <c r="A18" s="2477"/>
      <c r="B18" s="1925"/>
      <c r="C18" s="876"/>
      <c r="D18" s="1925"/>
      <c r="E18" s="1925"/>
      <c r="F18" s="1925"/>
      <c r="G18" s="1925"/>
      <c r="H18" s="1925"/>
      <c r="I18" s="1925"/>
      <c r="J18" s="2480"/>
      <c r="K18" s="2454"/>
      <c r="L18" s="2479"/>
    </row>
    <row r="19" spans="1:18" ht="11.25" customHeight="1" x14ac:dyDescent="0.25">
      <c r="A19" s="2477"/>
      <c r="B19" s="1925"/>
      <c r="C19" s="876"/>
      <c r="D19" s="1925"/>
      <c r="E19" s="1925"/>
      <c r="F19" s="1925"/>
      <c r="G19" s="1925"/>
      <c r="H19" s="1925"/>
      <c r="I19" s="1925"/>
      <c r="J19" s="2480"/>
      <c r="K19" s="2454"/>
      <c r="L19" s="2479"/>
    </row>
    <row r="20" spans="1:18" ht="11.25" customHeight="1" x14ac:dyDescent="0.25">
      <c r="A20" s="2477"/>
      <c r="B20" s="1925"/>
      <c r="C20" s="876"/>
      <c r="D20" s="1925"/>
      <c r="E20" s="1925"/>
      <c r="F20" s="1925"/>
      <c r="G20" s="1925"/>
      <c r="H20" s="1925"/>
      <c r="I20" s="1925"/>
      <c r="J20" s="2480"/>
      <c r="K20" s="2454"/>
      <c r="L20" s="2479"/>
    </row>
    <row r="21" spans="1:18" ht="11.25" customHeight="1" x14ac:dyDescent="0.25">
      <c r="A21" s="2477"/>
      <c r="B21" s="1925"/>
      <c r="C21" s="876"/>
      <c r="D21" s="1925"/>
      <c r="E21" s="1925"/>
      <c r="F21" s="1925"/>
      <c r="G21" s="1925"/>
      <c r="H21" s="1925"/>
      <c r="I21" s="1925"/>
      <c r="J21" s="2480"/>
      <c r="K21" s="2454"/>
      <c r="L21" s="2479"/>
    </row>
    <row r="22" spans="1:18" ht="11.25" customHeight="1" x14ac:dyDescent="0.25">
      <c r="A22" s="566" t="s">
        <v>176</v>
      </c>
      <c r="B22" s="1924"/>
      <c r="C22" s="2481"/>
      <c r="D22" s="2482"/>
      <c r="E22" s="2482"/>
      <c r="F22" s="2482"/>
      <c r="G22" s="2482"/>
      <c r="H22" s="2482"/>
      <c r="I22" s="2482"/>
      <c r="J22" s="2483"/>
      <c r="K22" s="2459">
        <v>0</v>
      </c>
      <c r="L22" s="2484">
        <v>0</v>
      </c>
    </row>
    <row r="23" spans="1:18" ht="5.0999999999999996" customHeight="1" x14ac:dyDescent="0.25">
      <c r="A23" s="658"/>
      <c r="B23" s="1924"/>
      <c r="C23" s="318"/>
      <c r="D23" s="1924"/>
      <c r="E23" s="1924"/>
      <c r="F23" s="1924"/>
      <c r="G23" s="1924"/>
      <c r="H23" s="1924"/>
      <c r="I23" s="1924"/>
      <c r="J23" s="2485"/>
      <c r="K23" s="2449"/>
      <c r="L23" s="2486"/>
    </row>
    <row r="24" spans="1:18" x14ac:dyDescent="0.25">
      <c r="A24" s="2487" t="s">
        <v>566</v>
      </c>
      <c r="B24" s="1926">
        <v>1</v>
      </c>
      <c r="C24" s="361"/>
      <c r="D24" s="1926"/>
      <c r="E24" s="1926"/>
      <c r="F24" s="1926"/>
      <c r="G24" s="1926"/>
      <c r="H24" s="1926"/>
      <c r="I24" s="1926"/>
      <c r="J24" s="2488"/>
      <c r="K24" s="2471">
        <v>1485000</v>
      </c>
      <c r="L24" s="2489">
        <v>110187</v>
      </c>
    </row>
    <row r="25" spans="1:18" ht="6" customHeight="1" x14ac:dyDescent="0.25">
      <c r="A25" s="328"/>
      <c r="B25" s="388"/>
      <c r="C25" s="1777"/>
      <c r="D25" s="2490"/>
      <c r="E25" s="331"/>
      <c r="F25" s="331"/>
      <c r="G25" s="331"/>
      <c r="H25" s="331"/>
      <c r="I25" s="331"/>
      <c r="J25" s="331"/>
      <c r="K25" s="331"/>
      <c r="L25" s="331"/>
      <c r="P25" s="241"/>
      <c r="Q25" s="241"/>
      <c r="R25" s="241"/>
    </row>
    <row r="26" spans="1:18" s="625" customFormat="1" x14ac:dyDescent="0.25">
      <c r="A26" s="2223" t="s">
        <v>986</v>
      </c>
      <c r="B26" s="1927"/>
      <c r="C26" s="1777"/>
      <c r="D26" s="1777"/>
      <c r="E26" s="1777"/>
      <c r="F26" s="1777"/>
      <c r="G26" s="1777"/>
      <c r="H26" s="1777"/>
      <c r="I26" s="1777"/>
      <c r="J26" s="1777"/>
      <c r="K26" s="1777"/>
      <c r="L26" s="1777"/>
      <c r="P26" s="850"/>
      <c r="Q26" s="850"/>
      <c r="R26" s="850"/>
    </row>
    <row r="27" spans="1:18" s="625" customFormat="1" ht="11.25" customHeight="1" x14ac:dyDescent="0.25">
      <c r="A27" s="931" t="s">
        <v>367</v>
      </c>
      <c r="B27" s="1927"/>
      <c r="C27" s="839"/>
      <c r="D27" s="2083"/>
      <c r="E27" s="2083"/>
      <c r="F27" s="2083"/>
      <c r="G27" s="2083"/>
      <c r="H27" s="2083"/>
      <c r="I27" s="2083"/>
      <c r="J27" s="839"/>
      <c r="K27" s="839"/>
      <c r="L27" s="839"/>
    </row>
    <row r="28" spans="1:18" s="625" customFormat="1" ht="11.25" customHeight="1" x14ac:dyDescent="0.25">
      <c r="A28" s="931" t="s">
        <v>929</v>
      </c>
      <c r="B28" s="1927"/>
      <c r="C28" s="839"/>
      <c r="D28" s="2083"/>
      <c r="E28" s="2083"/>
      <c r="F28" s="2083"/>
      <c r="G28" s="2083"/>
      <c r="H28" s="2083"/>
      <c r="I28" s="2083"/>
      <c r="J28" s="839"/>
      <c r="K28" s="839"/>
      <c r="L28" s="839"/>
    </row>
    <row r="29" spans="1:18" ht="11.25" customHeight="1" x14ac:dyDescent="0.25">
      <c r="A29" s="931" t="s">
        <v>2225</v>
      </c>
      <c r="B29" s="388"/>
      <c r="C29" s="331"/>
      <c r="D29" s="331"/>
      <c r="E29" s="331"/>
      <c r="F29" s="331"/>
      <c r="G29" s="331"/>
      <c r="H29" s="331"/>
      <c r="I29" s="331"/>
      <c r="J29" s="331"/>
      <c r="K29" s="331"/>
      <c r="L29" s="331"/>
    </row>
    <row r="30" spans="1:18" ht="11.25" customHeight="1" x14ac:dyDescent="0.25">
      <c r="A30" s="2491" t="s">
        <v>1528</v>
      </c>
      <c r="K30" s="2492">
        <v>0</v>
      </c>
      <c r="L30" s="310"/>
    </row>
    <row r="31" spans="1:18" ht="11.25" customHeight="1" x14ac:dyDescent="0.25"/>
    <row r="32" spans="1:18" ht="11.25" customHeight="1" x14ac:dyDescent="0.25"/>
    <row r="33" spans="20:20" ht="11.25" customHeight="1" x14ac:dyDescent="0.25"/>
    <row r="34" spans="20:20" ht="11.25" customHeight="1" x14ac:dyDescent="0.25"/>
    <row r="35" spans="20:20" ht="11.25" customHeight="1" x14ac:dyDescent="0.25"/>
    <row r="36" spans="20:20" ht="11.25" customHeight="1" x14ac:dyDescent="0.25"/>
    <row r="37" spans="20:20" ht="11.25" customHeight="1" x14ac:dyDescent="0.25">
      <c r="T37" s="338"/>
    </row>
    <row r="38" spans="20:20" ht="11.25" customHeight="1" x14ac:dyDescent="0.25"/>
    <row r="39" spans="20:20" ht="11.25" customHeight="1" x14ac:dyDescent="0.25"/>
    <row r="40" spans="20:20" ht="11.25" customHeight="1" x14ac:dyDescent="0.25"/>
    <row r="41" spans="20:20" ht="11.25" customHeight="1" x14ac:dyDescent="0.25"/>
    <row r="42" spans="20:20" ht="11.25" customHeight="1" x14ac:dyDescent="0.25"/>
    <row r="43" spans="20:20" ht="11.25" customHeight="1" x14ac:dyDescent="0.25"/>
    <row r="44" spans="20:20" ht="11.25" customHeight="1" x14ac:dyDescent="0.25"/>
    <row r="45" spans="20:20" ht="11.25" customHeight="1" x14ac:dyDescent="0.25"/>
    <row r="46" spans="20:20" ht="11.25" customHeight="1" x14ac:dyDescent="0.25"/>
    <row r="47" spans="20:20" ht="11.25" customHeight="1" x14ac:dyDescent="0.25"/>
    <row r="48" spans="20:20"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sheetData>
  <mergeCells count="2">
    <mergeCell ref="D2:D3"/>
    <mergeCell ref="J2:J3"/>
  </mergeCells>
  <phoneticPr fontId="4" type="noConversion"/>
  <pageMargins left="0.75" right="0.75" top="1" bottom="1" header="0.5" footer="0.5"/>
  <pageSetup scale="53"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enableFormatConditionsCalculation="0">
    <tabColor indexed="42"/>
    <pageSetUpPr fitToPage="1"/>
  </sheetPr>
  <dimension ref="A1:AS72"/>
  <sheetViews>
    <sheetView showGridLines="0" tabSelected="1" workbookViewId="0">
      <pane xSplit="2" ySplit="3" topLeftCell="C55"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x14ac:dyDescent="0.25">
      <c r="A1" s="146" t="s">
        <v>2537</v>
      </c>
      <c r="B1" s="146"/>
      <c r="C1" s="1997"/>
      <c r="D1" s="1997"/>
      <c r="E1" s="1997"/>
      <c r="F1" s="1997"/>
      <c r="G1" s="1997"/>
      <c r="H1" s="1997"/>
      <c r="I1" s="1997"/>
      <c r="J1" s="1997"/>
      <c r="K1" s="1997"/>
    </row>
    <row r="2" spans="1:11" ht="28.5" customHeight="1" x14ac:dyDescent="0.25">
      <c r="A2" s="796" t="s">
        <v>830</v>
      </c>
      <c r="B2" s="379" t="s">
        <v>429</v>
      </c>
      <c r="C2" s="149" t="s">
        <v>2478</v>
      </c>
      <c r="D2" s="149" t="s">
        <v>2479</v>
      </c>
      <c r="E2" s="1996" t="s">
        <v>2480</v>
      </c>
      <c r="F2" s="2700" t="s">
        <v>2481</v>
      </c>
      <c r="G2" s="2701"/>
      <c r="H2" s="2705"/>
      <c r="I2" s="2697" t="s">
        <v>2482</v>
      </c>
      <c r="J2" s="2698"/>
      <c r="K2" s="2699"/>
    </row>
    <row r="3" spans="1:11" ht="25.5" x14ac:dyDescent="0.25">
      <c r="A3" s="179" t="s">
        <v>667</v>
      </c>
      <c r="B3" s="791"/>
      <c r="C3" s="2009" t="s">
        <v>1065</v>
      </c>
      <c r="D3" s="2009" t="s">
        <v>1065</v>
      </c>
      <c r="E3" s="354" t="s">
        <v>1065</v>
      </c>
      <c r="F3" s="2004" t="s">
        <v>467</v>
      </c>
      <c r="G3" s="2009" t="s">
        <v>1807</v>
      </c>
      <c r="H3" s="354" t="s">
        <v>1808</v>
      </c>
      <c r="I3" s="2004" t="s">
        <v>2483</v>
      </c>
      <c r="J3" s="2009" t="s">
        <v>2484</v>
      </c>
      <c r="K3" s="354" t="s">
        <v>2485</v>
      </c>
    </row>
    <row r="4" spans="1:11" ht="12.75" customHeight="1" x14ac:dyDescent="0.25">
      <c r="A4" s="244" t="s">
        <v>178</v>
      </c>
      <c r="B4" s="181"/>
      <c r="C4" s="2462"/>
      <c r="D4" s="2462"/>
      <c r="E4" s="633"/>
      <c r="F4" s="2449"/>
      <c r="G4" s="2462"/>
      <c r="H4" s="2450"/>
      <c r="I4" s="2463"/>
      <c r="J4" s="2462"/>
      <c r="K4" s="633"/>
    </row>
    <row r="5" spans="1:11" ht="12.75" customHeight="1" x14ac:dyDescent="0.25">
      <c r="A5" s="245" t="s">
        <v>103</v>
      </c>
      <c r="B5" s="181"/>
      <c r="C5" s="2452">
        <v>884786.43651656504</v>
      </c>
      <c r="D5" s="2452">
        <v>749917</v>
      </c>
      <c r="E5" s="2453">
        <v>596874</v>
      </c>
      <c r="F5" s="2454">
        <v>1436000</v>
      </c>
      <c r="G5" s="2452">
        <v>396198</v>
      </c>
      <c r="H5" s="2455">
        <v>396198</v>
      </c>
      <c r="I5" s="2456">
        <v>175454.4</v>
      </c>
      <c r="J5" s="2452">
        <v>0</v>
      </c>
      <c r="K5" s="2453">
        <v>0</v>
      </c>
    </row>
    <row r="6" spans="1:11" ht="12.75" customHeight="1" x14ac:dyDescent="0.25">
      <c r="A6" s="245" t="s">
        <v>294</v>
      </c>
      <c r="B6" s="181"/>
      <c r="C6" s="2452">
        <v>0</v>
      </c>
      <c r="D6" s="2452">
        <v>0</v>
      </c>
      <c r="E6" s="2453">
        <v>0</v>
      </c>
      <c r="F6" s="2454">
        <v>0</v>
      </c>
      <c r="G6" s="2452">
        <v>0</v>
      </c>
      <c r="H6" s="2455">
        <v>0</v>
      </c>
      <c r="I6" s="2456">
        <v>0</v>
      </c>
      <c r="J6" s="2452">
        <v>0</v>
      </c>
      <c r="K6" s="2453">
        <v>0</v>
      </c>
    </row>
    <row r="7" spans="1:11" ht="12.75" customHeight="1" x14ac:dyDescent="0.25">
      <c r="A7" s="245" t="s">
        <v>104</v>
      </c>
      <c r="B7" s="181"/>
      <c r="C7" s="2452">
        <v>0</v>
      </c>
      <c r="D7" s="2452">
        <v>0</v>
      </c>
      <c r="E7" s="2453">
        <v>0</v>
      </c>
      <c r="F7" s="2454">
        <v>0</v>
      </c>
      <c r="G7" s="2452">
        <v>0</v>
      </c>
      <c r="H7" s="2455">
        <v>0</v>
      </c>
      <c r="I7" s="2456">
        <v>0</v>
      </c>
      <c r="J7" s="2452">
        <v>0</v>
      </c>
      <c r="K7" s="2453">
        <v>0</v>
      </c>
    </row>
    <row r="8" spans="1:11" ht="12.75" customHeight="1" x14ac:dyDescent="0.25">
      <c r="A8" s="245" t="s">
        <v>560</v>
      </c>
      <c r="B8" s="181"/>
      <c r="C8" s="2452">
        <v>0</v>
      </c>
      <c r="D8" s="2452">
        <v>0</v>
      </c>
      <c r="E8" s="2453">
        <v>0</v>
      </c>
      <c r="F8" s="2454">
        <v>0</v>
      </c>
      <c r="G8" s="2452">
        <v>0</v>
      </c>
      <c r="H8" s="2455">
        <v>0</v>
      </c>
      <c r="I8" s="2456">
        <v>0</v>
      </c>
      <c r="J8" s="2452">
        <v>0</v>
      </c>
      <c r="K8" s="2453">
        <v>0</v>
      </c>
    </row>
    <row r="9" spans="1:11" ht="12.75" customHeight="1" x14ac:dyDescent="0.25">
      <c r="A9" s="245" t="s">
        <v>561</v>
      </c>
      <c r="B9" s="181"/>
      <c r="C9" s="2452">
        <v>86021.37999999999</v>
      </c>
      <c r="D9" s="2452">
        <v>172285</v>
      </c>
      <c r="E9" s="2453">
        <v>94653</v>
      </c>
      <c r="F9" s="2454">
        <v>0</v>
      </c>
      <c r="G9" s="2452">
        <v>80455.05</v>
      </c>
      <c r="H9" s="2455">
        <v>80455.05</v>
      </c>
      <c r="I9" s="2456">
        <v>68386.792499999996</v>
      </c>
      <c r="J9" s="2452">
        <v>58128.773624999994</v>
      </c>
      <c r="K9" s="2453">
        <v>30000</v>
      </c>
    </row>
    <row r="10" spans="1:11" ht="12.75" customHeight="1" x14ac:dyDescent="0.25">
      <c r="A10" s="245" t="s">
        <v>784</v>
      </c>
      <c r="B10" s="181"/>
      <c r="C10" s="2452">
        <v>0</v>
      </c>
      <c r="D10" s="2452">
        <v>0</v>
      </c>
      <c r="E10" s="2453">
        <v>0</v>
      </c>
      <c r="F10" s="2454">
        <v>0</v>
      </c>
      <c r="G10" s="2452">
        <v>0</v>
      </c>
      <c r="H10" s="2455">
        <v>0</v>
      </c>
      <c r="I10" s="2456">
        <v>0</v>
      </c>
      <c r="J10" s="2452">
        <v>0</v>
      </c>
      <c r="K10" s="2453">
        <v>0</v>
      </c>
    </row>
    <row r="11" spans="1:11" ht="12.75" customHeight="1" x14ac:dyDescent="0.25">
      <c r="A11" s="245" t="s">
        <v>106</v>
      </c>
      <c r="B11" s="181"/>
      <c r="C11" s="2452">
        <v>0</v>
      </c>
      <c r="D11" s="2452">
        <v>0</v>
      </c>
      <c r="E11" s="2453">
        <v>0</v>
      </c>
      <c r="F11" s="2454">
        <v>0</v>
      </c>
      <c r="G11" s="2452">
        <v>0</v>
      </c>
      <c r="H11" s="2455">
        <v>0</v>
      </c>
      <c r="I11" s="2456">
        <v>0</v>
      </c>
      <c r="J11" s="2452">
        <v>0</v>
      </c>
      <c r="K11" s="2453">
        <v>0</v>
      </c>
    </row>
    <row r="12" spans="1:11" ht="12.75" customHeight="1" x14ac:dyDescent="0.25">
      <c r="A12" s="245" t="s">
        <v>107</v>
      </c>
      <c r="B12" s="181"/>
      <c r="C12" s="2452">
        <v>0</v>
      </c>
      <c r="D12" s="2452">
        <v>0</v>
      </c>
      <c r="E12" s="2453">
        <v>0</v>
      </c>
      <c r="F12" s="2454">
        <v>0</v>
      </c>
      <c r="G12" s="2452">
        <v>0</v>
      </c>
      <c r="H12" s="2455">
        <v>0</v>
      </c>
      <c r="I12" s="2456">
        <v>0</v>
      </c>
      <c r="J12" s="2452">
        <v>0</v>
      </c>
      <c r="K12" s="2453">
        <v>0</v>
      </c>
    </row>
    <row r="13" spans="1:11" ht="12.75" customHeight="1" x14ac:dyDescent="0.25">
      <c r="A13" s="245" t="s">
        <v>108</v>
      </c>
      <c r="B13" s="181"/>
      <c r="C13" s="2452">
        <v>0</v>
      </c>
      <c r="D13" s="2452">
        <v>0</v>
      </c>
      <c r="E13" s="2453">
        <v>0</v>
      </c>
      <c r="F13" s="2454">
        <v>0</v>
      </c>
      <c r="G13" s="2452">
        <v>0</v>
      </c>
      <c r="H13" s="2455">
        <v>0</v>
      </c>
      <c r="I13" s="2456">
        <v>0</v>
      </c>
      <c r="J13" s="2452">
        <v>0</v>
      </c>
      <c r="K13" s="2453">
        <v>0</v>
      </c>
    </row>
    <row r="14" spans="1:11" ht="12.75" customHeight="1" x14ac:dyDescent="0.25">
      <c r="A14" s="245" t="s">
        <v>109</v>
      </c>
      <c r="B14" s="181"/>
      <c r="C14" s="2452">
        <v>0</v>
      </c>
      <c r="D14" s="2452">
        <v>0</v>
      </c>
      <c r="E14" s="2453">
        <v>0</v>
      </c>
      <c r="F14" s="2454">
        <v>0</v>
      </c>
      <c r="G14" s="2452">
        <v>0</v>
      </c>
      <c r="H14" s="2455">
        <v>0</v>
      </c>
      <c r="I14" s="2456">
        <v>0</v>
      </c>
      <c r="J14" s="2452">
        <v>0</v>
      </c>
      <c r="K14" s="2453">
        <v>0</v>
      </c>
    </row>
    <row r="15" spans="1:11" ht="12.75" customHeight="1" x14ac:dyDescent="0.25">
      <c r="A15" s="245" t="s">
        <v>785</v>
      </c>
      <c r="B15" s="181"/>
      <c r="C15" s="2452">
        <v>0</v>
      </c>
      <c r="D15" s="2452">
        <v>0</v>
      </c>
      <c r="E15" s="2453">
        <v>0</v>
      </c>
      <c r="F15" s="2454">
        <v>0</v>
      </c>
      <c r="G15" s="2452">
        <v>0</v>
      </c>
      <c r="H15" s="2455">
        <v>0</v>
      </c>
      <c r="I15" s="2456">
        <v>0</v>
      </c>
      <c r="J15" s="2452">
        <v>0</v>
      </c>
      <c r="K15" s="2453">
        <v>0</v>
      </c>
    </row>
    <row r="16" spans="1:11" ht="12.75" customHeight="1" x14ac:dyDescent="0.25">
      <c r="A16" s="245" t="s">
        <v>110</v>
      </c>
      <c r="B16" s="181"/>
      <c r="C16" s="2452">
        <v>0</v>
      </c>
      <c r="D16" s="2452">
        <v>0</v>
      </c>
      <c r="E16" s="2453">
        <v>0</v>
      </c>
      <c r="F16" s="2454">
        <v>0</v>
      </c>
      <c r="G16" s="2452">
        <v>0</v>
      </c>
      <c r="H16" s="2455">
        <v>0</v>
      </c>
      <c r="I16" s="2456">
        <v>0</v>
      </c>
      <c r="J16" s="2452">
        <v>0</v>
      </c>
      <c r="K16" s="2453">
        <v>0</v>
      </c>
    </row>
    <row r="17" spans="1:11" ht="12.75" customHeight="1" x14ac:dyDescent="0.25">
      <c r="A17" s="257" t="s">
        <v>177</v>
      </c>
      <c r="B17" s="181">
        <v>1</v>
      </c>
      <c r="C17" s="2457">
        <v>970807.81651656504</v>
      </c>
      <c r="D17" s="2457">
        <v>922202</v>
      </c>
      <c r="E17" s="2458">
        <v>691527</v>
      </c>
      <c r="F17" s="2459">
        <v>1436000</v>
      </c>
      <c r="G17" s="2457">
        <v>476653.05</v>
      </c>
      <c r="H17" s="2460">
        <v>476653.05</v>
      </c>
      <c r="I17" s="2461">
        <v>243841.1925</v>
      </c>
      <c r="J17" s="2457">
        <v>58128.773624999994</v>
      </c>
      <c r="K17" s="2458">
        <v>30000</v>
      </c>
    </row>
    <row r="18" spans="1:11" ht="12.75" customHeight="1" x14ac:dyDescent="0.25">
      <c r="A18" s="257"/>
      <c r="B18" s="181"/>
      <c r="C18" s="640"/>
      <c r="D18" s="640"/>
      <c r="E18" s="2493"/>
      <c r="F18" s="2494"/>
      <c r="G18" s="640"/>
      <c r="H18" s="2495"/>
      <c r="I18" s="2496"/>
      <c r="J18" s="640"/>
      <c r="K18" s="2493"/>
    </row>
    <row r="19" spans="1:11" ht="12.75" customHeight="1" x14ac:dyDescent="0.25">
      <c r="A19" s="244" t="s">
        <v>680</v>
      </c>
      <c r="B19" s="181"/>
      <c r="C19" s="2462"/>
      <c r="D19" s="2462"/>
      <c r="E19" s="633"/>
      <c r="F19" s="2449"/>
      <c r="G19" s="2462"/>
      <c r="H19" s="2450"/>
      <c r="I19" s="2463"/>
      <c r="J19" s="2462"/>
      <c r="K19" s="633"/>
    </row>
    <row r="20" spans="1:11" ht="12.75" customHeight="1" x14ac:dyDescent="0.25">
      <c r="A20" s="245" t="s">
        <v>103</v>
      </c>
      <c r="B20" s="181"/>
      <c r="C20" s="2452">
        <v>0</v>
      </c>
      <c r="D20" s="2452">
        <v>0</v>
      </c>
      <c r="E20" s="2453">
        <v>0</v>
      </c>
      <c r="F20" s="2454">
        <v>0</v>
      </c>
      <c r="G20" s="2452">
        <v>0</v>
      </c>
      <c r="H20" s="2455">
        <v>0</v>
      </c>
      <c r="I20" s="2456">
        <v>0</v>
      </c>
      <c r="J20" s="2452">
        <v>0</v>
      </c>
      <c r="K20" s="2453">
        <v>0</v>
      </c>
    </row>
    <row r="21" spans="1:11" ht="12.75" customHeight="1" x14ac:dyDescent="0.25">
      <c r="A21" s="245" t="s">
        <v>294</v>
      </c>
      <c r="B21" s="181"/>
      <c r="C21" s="2452">
        <v>0</v>
      </c>
      <c r="D21" s="2452">
        <v>0</v>
      </c>
      <c r="E21" s="2453">
        <v>0</v>
      </c>
      <c r="F21" s="2454">
        <v>0</v>
      </c>
      <c r="G21" s="2452">
        <v>0</v>
      </c>
      <c r="H21" s="2455">
        <v>0</v>
      </c>
      <c r="I21" s="2456">
        <v>0</v>
      </c>
      <c r="J21" s="2452">
        <v>0</v>
      </c>
      <c r="K21" s="2453">
        <v>0</v>
      </c>
    </row>
    <row r="22" spans="1:11" ht="12.75" customHeight="1" x14ac:dyDescent="0.25">
      <c r="A22" s="245" t="s">
        <v>104</v>
      </c>
      <c r="B22" s="181"/>
      <c r="C22" s="2452">
        <v>0</v>
      </c>
      <c r="D22" s="2452">
        <v>0</v>
      </c>
      <c r="E22" s="2453">
        <v>0</v>
      </c>
      <c r="F22" s="2454">
        <v>0</v>
      </c>
      <c r="G22" s="2452">
        <v>0</v>
      </c>
      <c r="H22" s="2455">
        <v>0</v>
      </c>
      <c r="I22" s="2456">
        <v>0</v>
      </c>
      <c r="J22" s="2452">
        <v>0</v>
      </c>
      <c r="K22" s="2453">
        <v>0</v>
      </c>
    </row>
    <row r="23" spans="1:11" ht="12.75" customHeight="1" x14ac:dyDescent="0.25">
      <c r="A23" s="245" t="s">
        <v>560</v>
      </c>
      <c r="B23" s="181"/>
      <c r="C23" s="2452">
        <v>0</v>
      </c>
      <c r="D23" s="2452">
        <v>0</v>
      </c>
      <c r="E23" s="2453">
        <v>0</v>
      </c>
      <c r="F23" s="2454">
        <v>0</v>
      </c>
      <c r="G23" s="2452">
        <v>0</v>
      </c>
      <c r="H23" s="2455">
        <v>0</v>
      </c>
      <c r="I23" s="2456">
        <v>0</v>
      </c>
      <c r="J23" s="2452">
        <v>0</v>
      </c>
      <c r="K23" s="2453">
        <v>0</v>
      </c>
    </row>
    <row r="24" spans="1:11" ht="12.75" customHeight="1" x14ac:dyDescent="0.25">
      <c r="A24" s="245" t="s">
        <v>561</v>
      </c>
      <c r="B24" s="181"/>
      <c r="C24" s="2452">
        <v>0</v>
      </c>
      <c r="D24" s="2452">
        <v>0</v>
      </c>
      <c r="E24" s="2453">
        <v>0</v>
      </c>
      <c r="F24" s="2454">
        <v>0</v>
      </c>
      <c r="G24" s="2452">
        <v>0</v>
      </c>
      <c r="H24" s="2455">
        <v>0</v>
      </c>
      <c r="I24" s="2456">
        <v>0</v>
      </c>
      <c r="J24" s="2452">
        <v>0</v>
      </c>
      <c r="K24" s="2453">
        <v>0</v>
      </c>
    </row>
    <row r="25" spans="1:11" ht="12.75" customHeight="1" x14ac:dyDescent="0.25">
      <c r="A25" s="245" t="s">
        <v>784</v>
      </c>
      <c r="B25" s="181"/>
      <c r="C25" s="2452">
        <v>0</v>
      </c>
      <c r="D25" s="2452">
        <v>0</v>
      </c>
      <c r="E25" s="2453">
        <v>0</v>
      </c>
      <c r="F25" s="2454">
        <v>0</v>
      </c>
      <c r="G25" s="2452">
        <v>0</v>
      </c>
      <c r="H25" s="2455">
        <v>0</v>
      </c>
      <c r="I25" s="2456">
        <v>0</v>
      </c>
      <c r="J25" s="2452">
        <v>0</v>
      </c>
      <c r="K25" s="2453">
        <v>0</v>
      </c>
    </row>
    <row r="26" spans="1:11" ht="12.75" customHeight="1" x14ac:dyDescent="0.25">
      <c r="A26" s="245" t="s">
        <v>106</v>
      </c>
      <c r="B26" s="181"/>
      <c r="C26" s="2452">
        <v>0</v>
      </c>
      <c r="D26" s="2452">
        <v>0</v>
      </c>
      <c r="E26" s="2453">
        <v>0</v>
      </c>
      <c r="F26" s="2454">
        <v>0</v>
      </c>
      <c r="G26" s="2452">
        <v>0</v>
      </c>
      <c r="H26" s="2455">
        <v>0</v>
      </c>
      <c r="I26" s="2456">
        <v>0</v>
      </c>
      <c r="J26" s="2452">
        <v>0</v>
      </c>
      <c r="K26" s="2453">
        <v>0</v>
      </c>
    </row>
    <row r="27" spans="1:11" ht="12.75" customHeight="1" x14ac:dyDescent="0.25">
      <c r="A27" s="245" t="s">
        <v>107</v>
      </c>
      <c r="B27" s="181"/>
      <c r="C27" s="2452">
        <v>0</v>
      </c>
      <c r="D27" s="2452">
        <v>0</v>
      </c>
      <c r="E27" s="2453">
        <v>0</v>
      </c>
      <c r="F27" s="2454">
        <v>0</v>
      </c>
      <c r="G27" s="2452">
        <v>0</v>
      </c>
      <c r="H27" s="2455">
        <v>0</v>
      </c>
      <c r="I27" s="2456">
        <v>0</v>
      </c>
      <c r="J27" s="2452">
        <v>0</v>
      </c>
      <c r="K27" s="2453">
        <v>0</v>
      </c>
    </row>
    <row r="28" spans="1:11" ht="12.75" customHeight="1" x14ac:dyDescent="0.25">
      <c r="A28" s="245" t="s">
        <v>108</v>
      </c>
      <c r="B28" s="181"/>
      <c r="C28" s="2452">
        <v>0</v>
      </c>
      <c r="D28" s="2452">
        <v>0</v>
      </c>
      <c r="E28" s="2453">
        <v>0</v>
      </c>
      <c r="F28" s="2454">
        <v>0</v>
      </c>
      <c r="G28" s="2452">
        <v>0</v>
      </c>
      <c r="H28" s="2455">
        <v>0</v>
      </c>
      <c r="I28" s="2456">
        <v>0</v>
      </c>
      <c r="J28" s="2452">
        <v>0</v>
      </c>
      <c r="K28" s="2453">
        <v>0</v>
      </c>
    </row>
    <row r="29" spans="1:11" ht="12.75" customHeight="1" x14ac:dyDescent="0.25">
      <c r="A29" s="245" t="s">
        <v>109</v>
      </c>
      <c r="B29" s="181"/>
      <c r="C29" s="2452">
        <v>0</v>
      </c>
      <c r="D29" s="2452">
        <v>0</v>
      </c>
      <c r="E29" s="2453">
        <v>0</v>
      </c>
      <c r="F29" s="2454">
        <v>0</v>
      </c>
      <c r="G29" s="2452">
        <v>0</v>
      </c>
      <c r="H29" s="2455">
        <v>0</v>
      </c>
      <c r="I29" s="2456">
        <v>0</v>
      </c>
      <c r="J29" s="2452">
        <v>0</v>
      </c>
      <c r="K29" s="2453">
        <v>0</v>
      </c>
    </row>
    <row r="30" spans="1:11" ht="12.75" customHeight="1" x14ac:dyDescent="0.25">
      <c r="A30" s="245" t="s">
        <v>785</v>
      </c>
      <c r="B30" s="181"/>
      <c r="C30" s="2452">
        <v>0</v>
      </c>
      <c r="D30" s="2452">
        <v>0</v>
      </c>
      <c r="E30" s="2453">
        <v>0</v>
      </c>
      <c r="F30" s="2454">
        <v>0</v>
      </c>
      <c r="G30" s="2452">
        <v>0</v>
      </c>
      <c r="H30" s="2455">
        <v>0</v>
      </c>
      <c r="I30" s="2456">
        <v>0</v>
      </c>
      <c r="J30" s="2452">
        <v>0</v>
      </c>
      <c r="K30" s="2453">
        <v>0</v>
      </c>
    </row>
    <row r="31" spans="1:11" ht="12.75" customHeight="1" x14ac:dyDescent="0.25">
      <c r="A31" s="245" t="s">
        <v>110</v>
      </c>
      <c r="B31" s="181"/>
      <c r="C31" s="2452">
        <v>0</v>
      </c>
      <c r="D31" s="2452">
        <v>0</v>
      </c>
      <c r="E31" s="2453">
        <v>0</v>
      </c>
      <c r="F31" s="2454">
        <v>0</v>
      </c>
      <c r="G31" s="2452">
        <v>0</v>
      </c>
      <c r="H31" s="2455">
        <v>0</v>
      </c>
      <c r="I31" s="2456">
        <v>0</v>
      </c>
      <c r="J31" s="2452">
        <v>0</v>
      </c>
      <c r="K31" s="2453">
        <v>0</v>
      </c>
    </row>
    <row r="32" spans="1:11" ht="12.75" customHeight="1" x14ac:dyDescent="0.25">
      <c r="A32" s="257" t="s">
        <v>176</v>
      </c>
      <c r="B32" s="181">
        <v>1</v>
      </c>
      <c r="C32" s="2457">
        <v>0</v>
      </c>
      <c r="D32" s="2457">
        <v>0</v>
      </c>
      <c r="E32" s="2458">
        <v>0</v>
      </c>
      <c r="F32" s="2459">
        <v>0</v>
      </c>
      <c r="G32" s="2457">
        <v>0</v>
      </c>
      <c r="H32" s="2460">
        <v>0</v>
      </c>
      <c r="I32" s="2461">
        <v>0</v>
      </c>
      <c r="J32" s="2457">
        <v>0</v>
      </c>
      <c r="K32" s="2458">
        <v>0</v>
      </c>
    </row>
    <row r="33" spans="1:45" ht="12.75" customHeight="1" x14ac:dyDescent="0.25">
      <c r="A33" s="265"/>
      <c r="B33" s="181"/>
      <c r="C33" s="2462"/>
      <c r="D33" s="2462"/>
      <c r="E33" s="633"/>
      <c r="F33" s="2449"/>
      <c r="G33" s="2462"/>
      <c r="H33" s="2450"/>
      <c r="I33" s="2463"/>
      <c r="J33" s="2462"/>
      <c r="K33" s="633"/>
    </row>
    <row r="34" spans="1:45" ht="12.75" customHeight="1" x14ac:dyDescent="0.25">
      <c r="A34" s="268" t="s">
        <v>1372</v>
      </c>
      <c r="B34" s="222">
        <v>1</v>
      </c>
      <c r="C34" s="2469">
        <v>970807.81651656504</v>
      </c>
      <c r="D34" s="2469">
        <v>922202</v>
      </c>
      <c r="E34" s="2470">
        <v>691527</v>
      </c>
      <c r="F34" s="2471">
        <v>1436000</v>
      </c>
      <c r="G34" s="2469">
        <v>476653.05</v>
      </c>
      <c r="H34" s="2472">
        <v>476653.05</v>
      </c>
      <c r="I34" s="2473">
        <v>243841.1925</v>
      </c>
      <c r="J34" s="2469">
        <v>58128.773624999994</v>
      </c>
      <c r="K34" s="2470">
        <v>30000</v>
      </c>
    </row>
    <row r="35" spans="1:45" ht="12.75" customHeight="1" x14ac:dyDescent="0.25">
      <c r="A35" s="1272"/>
      <c r="B35" s="568"/>
      <c r="C35" s="2495"/>
      <c r="D35" s="2495"/>
      <c r="E35" s="2495"/>
      <c r="F35" s="2495"/>
      <c r="G35" s="2495"/>
      <c r="H35" s="2495"/>
      <c r="I35" s="2495"/>
      <c r="J35" s="2495"/>
      <c r="K35" s="2495"/>
    </row>
    <row r="36" spans="1:45" ht="18.75" customHeight="1" x14ac:dyDescent="0.25">
      <c r="A36" s="796" t="s">
        <v>2208</v>
      </c>
      <c r="B36" s="379"/>
      <c r="C36" s="2008"/>
      <c r="D36" s="2008"/>
      <c r="E36" s="2012"/>
      <c r="F36" s="1638"/>
      <c r="G36" s="379"/>
      <c r="H36" s="797"/>
      <c r="I36" s="1897"/>
      <c r="J36" s="1895"/>
      <c r="K36" s="1896"/>
      <c r="L36" s="241"/>
      <c r="M36" s="241"/>
      <c r="N36" s="241"/>
    </row>
    <row r="37" spans="1:45" ht="12.75" customHeight="1" x14ac:dyDescent="0.25">
      <c r="A37" s="244" t="s">
        <v>178</v>
      </c>
      <c r="B37" s="181"/>
      <c r="C37" s="2462"/>
      <c r="D37" s="2462"/>
      <c r="E37" s="633"/>
      <c r="F37" s="2463"/>
      <c r="G37" s="2462"/>
      <c r="H37" s="2486"/>
      <c r="I37" s="2497"/>
      <c r="J37" s="2462"/>
      <c r="K37" s="2486"/>
    </row>
    <row r="38" spans="1:45" ht="11.25" customHeight="1" x14ac:dyDescent="0.25">
      <c r="A38" s="245" t="s">
        <v>103</v>
      </c>
      <c r="B38" s="181"/>
      <c r="C38" s="2452">
        <v>0</v>
      </c>
      <c r="D38" s="2452">
        <v>0</v>
      </c>
      <c r="E38" s="2453">
        <v>0</v>
      </c>
      <c r="F38" s="2454">
        <v>0</v>
      </c>
      <c r="G38" s="2452">
        <v>0</v>
      </c>
      <c r="H38" s="2455">
        <v>0</v>
      </c>
      <c r="I38" s="2456">
        <v>0</v>
      </c>
      <c r="J38" s="2452">
        <v>0</v>
      </c>
      <c r="K38" s="2453">
        <v>0</v>
      </c>
      <c r="L38" s="338"/>
    </row>
    <row r="39" spans="1:45" ht="11.25" customHeight="1" x14ac:dyDescent="0.25">
      <c r="A39" s="245" t="s">
        <v>294</v>
      </c>
      <c r="B39" s="181"/>
      <c r="C39" s="2452">
        <v>0</v>
      </c>
      <c r="D39" s="2452">
        <v>0</v>
      </c>
      <c r="E39" s="2453">
        <v>0</v>
      </c>
      <c r="F39" s="2454">
        <v>0</v>
      </c>
      <c r="G39" s="2452">
        <v>0</v>
      </c>
      <c r="H39" s="2455">
        <v>0</v>
      </c>
      <c r="I39" s="2456">
        <v>0</v>
      </c>
      <c r="J39" s="2452">
        <v>0</v>
      </c>
      <c r="K39" s="2453">
        <v>0</v>
      </c>
    </row>
    <row r="40" spans="1:45" ht="11.25" customHeight="1" x14ac:dyDescent="0.25">
      <c r="A40" s="245" t="s">
        <v>104</v>
      </c>
      <c r="B40" s="181"/>
      <c r="C40" s="2452">
        <v>0</v>
      </c>
      <c r="D40" s="2452">
        <v>0</v>
      </c>
      <c r="E40" s="2453">
        <v>0</v>
      </c>
      <c r="F40" s="2454">
        <v>0</v>
      </c>
      <c r="G40" s="2452">
        <v>0</v>
      </c>
      <c r="H40" s="2455">
        <v>0</v>
      </c>
      <c r="I40" s="2456">
        <v>0</v>
      </c>
      <c r="J40" s="2452">
        <v>0</v>
      </c>
      <c r="K40" s="2453">
        <v>0</v>
      </c>
    </row>
    <row r="41" spans="1:45" ht="11.25" customHeight="1" x14ac:dyDescent="0.25">
      <c r="A41" s="245" t="s">
        <v>560</v>
      </c>
      <c r="B41" s="181"/>
      <c r="C41" s="2452">
        <v>0</v>
      </c>
      <c r="D41" s="2452">
        <v>0</v>
      </c>
      <c r="E41" s="2453">
        <v>0</v>
      </c>
      <c r="F41" s="2454">
        <v>0</v>
      </c>
      <c r="G41" s="2452">
        <v>0</v>
      </c>
      <c r="H41" s="2455">
        <v>0</v>
      </c>
      <c r="I41" s="2456">
        <v>0</v>
      </c>
      <c r="J41" s="2452">
        <v>0</v>
      </c>
      <c r="K41" s="2453">
        <v>0</v>
      </c>
      <c r="AQ41" s="148">
        <v>439005000</v>
      </c>
      <c r="AS41" s="148">
        <v>539442200</v>
      </c>
    </row>
    <row r="42" spans="1:45" ht="11.25" customHeight="1" x14ac:dyDescent="0.25">
      <c r="A42" s="245" t="s">
        <v>561</v>
      </c>
      <c r="B42" s="181"/>
      <c r="C42" s="2452">
        <v>0</v>
      </c>
      <c r="D42" s="2452">
        <v>0</v>
      </c>
      <c r="E42" s="2453">
        <v>0</v>
      </c>
      <c r="F42" s="2454">
        <v>0</v>
      </c>
      <c r="G42" s="2452">
        <v>0</v>
      </c>
      <c r="H42" s="2455">
        <v>0</v>
      </c>
      <c r="I42" s="2456">
        <v>0</v>
      </c>
      <c r="J42" s="2452">
        <v>0</v>
      </c>
      <c r="K42" s="2453">
        <v>0</v>
      </c>
    </row>
    <row r="43" spans="1:45" ht="11.25" customHeight="1" x14ac:dyDescent="0.25">
      <c r="A43" s="245" t="s">
        <v>784</v>
      </c>
      <c r="B43" s="181"/>
      <c r="C43" s="2452">
        <v>0</v>
      </c>
      <c r="D43" s="2452">
        <v>0</v>
      </c>
      <c r="E43" s="2453">
        <v>0</v>
      </c>
      <c r="F43" s="2454">
        <v>0</v>
      </c>
      <c r="G43" s="2452">
        <v>0</v>
      </c>
      <c r="H43" s="2455">
        <v>0</v>
      </c>
      <c r="I43" s="2456">
        <v>0</v>
      </c>
      <c r="J43" s="2452">
        <v>0</v>
      </c>
      <c r="K43" s="2453">
        <v>0</v>
      </c>
      <c r="W43" s="148">
        <v>0</v>
      </c>
      <c r="Y43" s="148">
        <v>0</v>
      </c>
      <c r="AB43" s="148">
        <v>0</v>
      </c>
      <c r="AD43" s="148">
        <v>0</v>
      </c>
      <c r="AG43" s="148">
        <v>0</v>
      </c>
      <c r="AI43" s="148">
        <v>0</v>
      </c>
      <c r="AL43" s="148">
        <v>0</v>
      </c>
      <c r="AN43" s="148">
        <v>0</v>
      </c>
      <c r="AQ43" s="148">
        <v>1834701353</v>
      </c>
      <c r="AS43" s="148">
        <v>1241876995</v>
      </c>
    </row>
    <row r="44" spans="1:45" ht="11.25" customHeight="1" x14ac:dyDescent="0.25">
      <c r="A44" s="245" t="s">
        <v>106</v>
      </c>
      <c r="B44" s="181"/>
      <c r="C44" s="2452">
        <v>0</v>
      </c>
      <c r="D44" s="2452">
        <v>0</v>
      </c>
      <c r="E44" s="2453">
        <v>0</v>
      </c>
      <c r="F44" s="2454">
        <v>0</v>
      </c>
      <c r="G44" s="2452">
        <v>0</v>
      </c>
      <c r="H44" s="2455">
        <v>0</v>
      </c>
      <c r="I44" s="2456">
        <v>0</v>
      </c>
      <c r="J44" s="2452">
        <v>0</v>
      </c>
      <c r="K44" s="2453">
        <v>0</v>
      </c>
      <c r="AQ44" s="148">
        <v>839041298</v>
      </c>
      <c r="AS44" s="148">
        <v>440387617</v>
      </c>
    </row>
    <row r="45" spans="1:45" ht="11.25" customHeight="1" x14ac:dyDescent="0.25">
      <c r="A45" s="245" t="s">
        <v>107</v>
      </c>
      <c r="B45" s="181"/>
      <c r="C45" s="2452">
        <v>0</v>
      </c>
      <c r="D45" s="2452">
        <v>0</v>
      </c>
      <c r="E45" s="2453">
        <v>0</v>
      </c>
      <c r="F45" s="2454">
        <v>0</v>
      </c>
      <c r="G45" s="2452">
        <v>0</v>
      </c>
      <c r="H45" s="2455">
        <v>0</v>
      </c>
      <c r="I45" s="2456">
        <v>0</v>
      </c>
      <c r="J45" s="2452">
        <v>0</v>
      </c>
      <c r="K45" s="2453">
        <v>0</v>
      </c>
      <c r="AQ45" s="148">
        <v>976543638</v>
      </c>
      <c r="AS45" s="148">
        <v>782372961</v>
      </c>
    </row>
    <row r="46" spans="1:45" ht="11.25" customHeight="1" x14ac:dyDescent="0.25">
      <c r="A46" s="245" t="s">
        <v>108</v>
      </c>
      <c r="B46" s="181"/>
      <c r="C46" s="2452">
        <v>0</v>
      </c>
      <c r="D46" s="2452">
        <v>0</v>
      </c>
      <c r="E46" s="2453">
        <v>0</v>
      </c>
      <c r="F46" s="2454">
        <v>0</v>
      </c>
      <c r="G46" s="2452">
        <v>0</v>
      </c>
      <c r="H46" s="2455">
        <v>0</v>
      </c>
      <c r="I46" s="2456">
        <v>0</v>
      </c>
      <c r="J46" s="2452">
        <v>0</v>
      </c>
      <c r="K46" s="2453">
        <v>0</v>
      </c>
      <c r="AQ46" s="148">
        <v>19116417</v>
      </c>
      <c r="AS46" s="148">
        <v>19116417</v>
      </c>
    </row>
    <row r="47" spans="1:45" ht="11.25" customHeight="1" x14ac:dyDescent="0.25">
      <c r="A47" s="245" t="s">
        <v>109</v>
      </c>
      <c r="B47" s="181"/>
      <c r="C47" s="2452">
        <v>0</v>
      </c>
      <c r="D47" s="2452">
        <v>0</v>
      </c>
      <c r="E47" s="2453">
        <v>0</v>
      </c>
      <c r="F47" s="2454">
        <v>0</v>
      </c>
      <c r="G47" s="2452">
        <v>0</v>
      </c>
      <c r="H47" s="2455">
        <v>0</v>
      </c>
      <c r="I47" s="2456">
        <v>0</v>
      </c>
      <c r="J47" s="2452">
        <v>0</v>
      </c>
      <c r="K47" s="2453">
        <v>0</v>
      </c>
      <c r="AQ47" s="148">
        <v>2273706353</v>
      </c>
      <c r="AS47" s="148">
        <v>1781319195</v>
      </c>
    </row>
    <row r="48" spans="1:45" ht="11.25" customHeight="1" x14ac:dyDescent="0.25">
      <c r="A48" s="245" t="s">
        <v>785</v>
      </c>
      <c r="B48" s="181"/>
      <c r="C48" s="2452">
        <v>0</v>
      </c>
      <c r="D48" s="2452">
        <v>0</v>
      </c>
      <c r="E48" s="2453">
        <v>0</v>
      </c>
      <c r="F48" s="2454">
        <v>0</v>
      </c>
      <c r="G48" s="2452">
        <v>0</v>
      </c>
      <c r="H48" s="2455">
        <v>0</v>
      </c>
      <c r="I48" s="2456">
        <v>0</v>
      </c>
      <c r="J48" s="2452">
        <v>0</v>
      </c>
      <c r="K48" s="2453">
        <v>0</v>
      </c>
      <c r="AQ48" s="148">
        <v>180259232</v>
      </c>
      <c r="AS48" s="148">
        <v>140396729</v>
      </c>
    </row>
    <row r="49" spans="1:45" ht="11.25" customHeight="1" x14ac:dyDescent="0.25">
      <c r="A49" s="245" t="s">
        <v>110</v>
      </c>
      <c r="B49" s="181"/>
      <c r="C49" s="2452">
        <v>0</v>
      </c>
      <c r="D49" s="2452">
        <v>0</v>
      </c>
      <c r="E49" s="2453">
        <v>0</v>
      </c>
      <c r="F49" s="2454">
        <v>0</v>
      </c>
      <c r="G49" s="2452">
        <v>0</v>
      </c>
      <c r="H49" s="2455">
        <v>0</v>
      </c>
      <c r="I49" s="2456">
        <v>0</v>
      </c>
      <c r="J49" s="2452">
        <v>0</v>
      </c>
      <c r="K49" s="2453">
        <v>0</v>
      </c>
      <c r="AQ49" s="148">
        <v>125005000</v>
      </c>
      <c r="AS49" s="148">
        <v>100442200</v>
      </c>
    </row>
    <row r="50" spans="1:45" ht="11.25" customHeight="1" x14ac:dyDescent="0.25">
      <c r="A50" s="257" t="s">
        <v>177</v>
      </c>
      <c r="B50" s="181">
        <v>1</v>
      </c>
      <c r="C50" s="2457">
        <v>0</v>
      </c>
      <c r="D50" s="2457">
        <v>0</v>
      </c>
      <c r="E50" s="2458">
        <v>0</v>
      </c>
      <c r="F50" s="2459">
        <v>0</v>
      </c>
      <c r="G50" s="2457">
        <v>0</v>
      </c>
      <c r="H50" s="2460">
        <v>0</v>
      </c>
      <c r="I50" s="2461">
        <v>0</v>
      </c>
      <c r="J50" s="2457">
        <v>0</v>
      </c>
      <c r="K50" s="2458">
        <v>0</v>
      </c>
      <c r="AQ50" s="148">
        <v>40341797</v>
      </c>
      <c r="AS50" s="148">
        <v>38954529</v>
      </c>
    </row>
    <row r="51" spans="1:45" ht="11.25" customHeight="1" x14ac:dyDescent="0.25">
      <c r="A51" s="257"/>
      <c r="B51" s="181"/>
      <c r="C51" s="640"/>
      <c r="D51" s="640"/>
      <c r="E51" s="2493"/>
      <c r="F51" s="2494"/>
      <c r="G51" s="640"/>
      <c r="H51" s="2495"/>
      <c r="I51" s="2496"/>
      <c r="J51" s="640"/>
      <c r="K51" s="2493"/>
      <c r="AQ51" s="148">
        <v>14912435</v>
      </c>
      <c r="AS51" s="148">
        <v>1000000</v>
      </c>
    </row>
    <row r="52" spans="1:45" ht="11.25" customHeight="1" x14ac:dyDescent="0.25">
      <c r="A52" s="244" t="s">
        <v>680</v>
      </c>
      <c r="B52" s="181"/>
      <c r="C52" s="2462"/>
      <c r="D52" s="2462"/>
      <c r="E52" s="633"/>
      <c r="F52" s="2449"/>
      <c r="G52" s="2462"/>
      <c r="H52" s="2450"/>
      <c r="I52" s="2463"/>
      <c r="J52" s="2462"/>
      <c r="K52" s="633"/>
    </row>
    <row r="53" spans="1:45" ht="11.25" customHeight="1" x14ac:dyDescent="0.25">
      <c r="A53" s="245" t="s">
        <v>103</v>
      </c>
      <c r="B53" s="181"/>
      <c r="C53" s="2452">
        <v>0</v>
      </c>
      <c r="D53" s="2452">
        <v>0</v>
      </c>
      <c r="E53" s="2453">
        <v>0</v>
      </c>
      <c r="F53" s="2454">
        <v>0</v>
      </c>
      <c r="G53" s="2452">
        <v>0</v>
      </c>
      <c r="H53" s="2455">
        <v>0</v>
      </c>
      <c r="I53" s="2456">
        <v>0</v>
      </c>
      <c r="J53" s="2452">
        <v>0</v>
      </c>
      <c r="K53" s="2453">
        <v>0</v>
      </c>
    </row>
    <row r="54" spans="1:45" ht="11.25" customHeight="1" x14ac:dyDescent="0.25">
      <c r="A54" s="245" t="s">
        <v>294</v>
      </c>
      <c r="B54" s="181"/>
      <c r="C54" s="2452">
        <v>0</v>
      </c>
      <c r="D54" s="2452">
        <v>0</v>
      </c>
      <c r="E54" s="2453">
        <v>0</v>
      </c>
      <c r="F54" s="2454">
        <v>0</v>
      </c>
      <c r="G54" s="2452">
        <v>0</v>
      </c>
      <c r="H54" s="2455">
        <v>0</v>
      </c>
      <c r="I54" s="2456">
        <v>0</v>
      </c>
      <c r="J54" s="2452">
        <v>0</v>
      </c>
      <c r="K54" s="2453">
        <v>0</v>
      </c>
    </row>
    <row r="55" spans="1:45" ht="11.25" customHeight="1" x14ac:dyDescent="0.25">
      <c r="A55" s="245" t="s">
        <v>104</v>
      </c>
      <c r="B55" s="181"/>
      <c r="C55" s="2452">
        <v>0</v>
      </c>
      <c r="D55" s="2452">
        <v>0</v>
      </c>
      <c r="E55" s="2453">
        <v>0</v>
      </c>
      <c r="F55" s="2454">
        <v>0</v>
      </c>
      <c r="G55" s="2452">
        <v>0</v>
      </c>
      <c r="H55" s="2455">
        <v>0</v>
      </c>
      <c r="I55" s="2456">
        <v>0</v>
      </c>
      <c r="J55" s="2452">
        <v>0</v>
      </c>
      <c r="K55" s="2453">
        <v>0</v>
      </c>
    </row>
    <row r="56" spans="1:45" ht="11.25" customHeight="1" x14ac:dyDescent="0.25">
      <c r="A56" s="245" t="s">
        <v>560</v>
      </c>
      <c r="B56" s="181"/>
      <c r="C56" s="2452">
        <v>0</v>
      </c>
      <c r="D56" s="2452">
        <v>0</v>
      </c>
      <c r="E56" s="2453">
        <v>0</v>
      </c>
      <c r="F56" s="2454">
        <v>0</v>
      </c>
      <c r="G56" s="2452">
        <v>0</v>
      </c>
      <c r="H56" s="2455">
        <v>0</v>
      </c>
      <c r="I56" s="2456">
        <v>0</v>
      </c>
      <c r="J56" s="2452">
        <v>0</v>
      </c>
      <c r="K56" s="2453">
        <v>0</v>
      </c>
    </row>
    <row r="57" spans="1:45" ht="11.25" customHeight="1" x14ac:dyDescent="0.25">
      <c r="A57" s="245" t="s">
        <v>561</v>
      </c>
      <c r="B57" s="181"/>
      <c r="C57" s="2452">
        <v>0</v>
      </c>
      <c r="D57" s="2452">
        <v>0</v>
      </c>
      <c r="E57" s="2453">
        <v>0</v>
      </c>
      <c r="F57" s="2454">
        <v>0</v>
      </c>
      <c r="G57" s="2452">
        <v>0</v>
      </c>
      <c r="H57" s="2455">
        <v>0</v>
      </c>
      <c r="I57" s="2456">
        <v>0</v>
      </c>
      <c r="J57" s="2452">
        <v>0</v>
      </c>
      <c r="K57" s="2453">
        <v>0</v>
      </c>
    </row>
    <row r="58" spans="1:45" ht="11.25" customHeight="1" x14ac:dyDescent="0.25">
      <c r="A58" s="245" t="s">
        <v>784</v>
      </c>
      <c r="B58" s="181"/>
      <c r="C58" s="2452">
        <v>0</v>
      </c>
      <c r="D58" s="2452">
        <v>0</v>
      </c>
      <c r="E58" s="2453">
        <v>0</v>
      </c>
      <c r="F58" s="2454">
        <v>0</v>
      </c>
      <c r="G58" s="2452">
        <v>0</v>
      </c>
      <c r="H58" s="2455">
        <v>0</v>
      </c>
      <c r="I58" s="2456">
        <v>0</v>
      </c>
      <c r="J58" s="2452">
        <v>0</v>
      </c>
      <c r="K58" s="2453">
        <v>0</v>
      </c>
    </row>
    <row r="59" spans="1:45" ht="11.25" customHeight="1" x14ac:dyDescent="0.25">
      <c r="A59" s="245" t="s">
        <v>106</v>
      </c>
      <c r="B59" s="181"/>
      <c r="C59" s="2452">
        <v>0</v>
      </c>
      <c r="D59" s="2452">
        <v>0</v>
      </c>
      <c r="E59" s="2453">
        <v>0</v>
      </c>
      <c r="F59" s="2454">
        <v>0</v>
      </c>
      <c r="G59" s="2452">
        <v>0</v>
      </c>
      <c r="H59" s="2455">
        <v>0</v>
      </c>
      <c r="I59" s="2456">
        <v>0</v>
      </c>
      <c r="J59" s="2452">
        <v>0</v>
      </c>
      <c r="K59" s="2453">
        <v>0</v>
      </c>
    </row>
    <row r="60" spans="1:45" ht="11.25" customHeight="1" x14ac:dyDescent="0.25">
      <c r="A60" s="245" t="s">
        <v>107</v>
      </c>
      <c r="B60" s="181"/>
      <c r="C60" s="2452">
        <v>0</v>
      </c>
      <c r="D60" s="2452">
        <v>0</v>
      </c>
      <c r="E60" s="2453">
        <v>0</v>
      </c>
      <c r="F60" s="2454">
        <v>0</v>
      </c>
      <c r="G60" s="2452">
        <v>0</v>
      </c>
      <c r="H60" s="2455">
        <v>0</v>
      </c>
      <c r="I60" s="2456">
        <v>0</v>
      </c>
      <c r="J60" s="2452">
        <v>0</v>
      </c>
      <c r="K60" s="2453">
        <v>0</v>
      </c>
    </row>
    <row r="61" spans="1:45" ht="11.25" customHeight="1" x14ac:dyDescent="0.25">
      <c r="A61" s="245" t="s">
        <v>108</v>
      </c>
      <c r="B61" s="181"/>
      <c r="C61" s="2452">
        <v>0</v>
      </c>
      <c r="D61" s="2452">
        <v>0</v>
      </c>
      <c r="E61" s="2453">
        <v>0</v>
      </c>
      <c r="F61" s="2454">
        <v>0</v>
      </c>
      <c r="G61" s="2452">
        <v>0</v>
      </c>
      <c r="H61" s="2455">
        <v>0</v>
      </c>
      <c r="I61" s="2456">
        <v>0</v>
      </c>
      <c r="J61" s="2452">
        <v>0</v>
      </c>
      <c r="K61" s="2453">
        <v>0</v>
      </c>
    </row>
    <row r="62" spans="1:45" ht="11.25" customHeight="1" x14ac:dyDescent="0.25">
      <c r="A62" s="245" t="s">
        <v>109</v>
      </c>
      <c r="B62" s="181"/>
      <c r="C62" s="2452">
        <v>0</v>
      </c>
      <c r="D62" s="2452">
        <v>0</v>
      </c>
      <c r="E62" s="2453">
        <v>0</v>
      </c>
      <c r="F62" s="2454">
        <v>0</v>
      </c>
      <c r="G62" s="2452">
        <v>0</v>
      </c>
      <c r="H62" s="2455">
        <v>0</v>
      </c>
      <c r="I62" s="2456">
        <v>0</v>
      </c>
      <c r="J62" s="2452">
        <v>0</v>
      </c>
      <c r="K62" s="2453">
        <v>0</v>
      </c>
    </row>
    <row r="63" spans="1:45" ht="11.25" customHeight="1" x14ac:dyDescent="0.25">
      <c r="A63" s="245" t="s">
        <v>785</v>
      </c>
      <c r="B63" s="181"/>
      <c r="C63" s="2452">
        <v>0</v>
      </c>
      <c r="D63" s="2452">
        <v>0</v>
      </c>
      <c r="E63" s="2453">
        <v>0</v>
      </c>
      <c r="F63" s="2454">
        <v>0</v>
      </c>
      <c r="G63" s="2452">
        <v>0</v>
      </c>
      <c r="H63" s="2455">
        <v>0</v>
      </c>
      <c r="I63" s="2456">
        <v>0</v>
      </c>
      <c r="J63" s="2452">
        <v>0</v>
      </c>
      <c r="K63" s="2453">
        <v>0</v>
      </c>
    </row>
    <row r="64" spans="1:45" ht="11.25" customHeight="1" x14ac:dyDescent="0.25">
      <c r="A64" s="245" t="s">
        <v>110</v>
      </c>
      <c r="B64" s="181"/>
      <c r="C64" s="2452">
        <v>0</v>
      </c>
      <c r="D64" s="2452">
        <v>0</v>
      </c>
      <c r="E64" s="2453">
        <v>0</v>
      </c>
      <c r="F64" s="2454">
        <v>0</v>
      </c>
      <c r="G64" s="2452">
        <v>0</v>
      </c>
      <c r="H64" s="2455">
        <v>0</v>
      </c>
      <c r="I64" s="2456">
        <v>0</v>
      </c>
      <c r="J64" s="2452">
        <v>0</v>
      </c>
      <c r="K64" s="2453">
        <v>0</v>
      </c>
    </row>
    <row r="65" spans="1:11" ht="11.25" customHeight="1" x14ac:dyDescent="0.25">
      <c r="A65" s="257" t="s">
        <v>176</v>
      </c>
      <c r="B65" s="181">
        <v>1</v>
      </c>
      <c r="C65" s="2457">
        <v>0</v>
      </c>
      <c r="D65" s="2457">
        <v>0</v>
      </c>
      <c r="E65" s="2458">
        <v>0</v>
      </c>
      <c r="F65" s="2459">
        <v>0</v>
      </c>
      <c r="G65" s="2457">
        <v>0</v>
      </c>
      <c r="H65" s="2460">
        <v>0</v>
      </c>
      <c r="I65" s="2461">
        <v>0</v>
      </c>
      <c r="J65" s="2457">
        <v>0</v>
      </c>
      <c r="K65" s="2458">
        <v>0</v>
      </c>
    </row>
    <row r="66" spans="1:11" ht="11.25" customHeight="1" x14ac:dyDescent="0.25">
      <c r="A66" s="265"/>
      <c r="B66" s="181"/>
      <c r="C66" s="2462"/>
      <c r="D66" s="2462"/>
      <c r="E66" s="633"/>
      <c r="F66" s="2449"/>
      <c r="G66" s="2462"/>
      <c r="H66" s="2450"/>
      <c r="I66" s="2463"/>
      <c r="J66" s="2462"/>
      <c r="K66" s="633"/>
    </row>
    <row r="67" spans="1:11" ht="11.25" customHeight="1" x14ac:dyDescent="0.25">
      <c r="A67" s="268" t="s">
        <v>2209</v>
      </c>
      <c r="B67" s="222">
        <v>1</v>
      </c>
      <c r="C67" s="2469">
        <v>0</v>
      </c>
      <c r="D67" s="2469">
        <v>0</v>
      </c>
      <c r="E67" s="2470">
        <v>0</v>
      </c>
      <c r="F67" s="2471">
        <v>0</v>
      </c>
      <c r="G67" s="2469">
        <v>0</v>
      </c>
      <c r="H67" s="2472">
        <v>0</v>
      </c>
      <c r="I67" s="2473">
        <v>0</v>
      </c>
      <c r="J67" s="2469">
        <v>0</v>
      </c>
      <c r="K67" s="2470">
        <v>0</v>
      </c>
    </row>
    <row r="68" spans="1:11" ht="11.25" customHeight="1" x14ac:dyDescent="0.25">
      <c r="A68" s="241"/>
      <c r="B68" s="232"/>
      <c r="C68" s="331"/>
      <c r="D68" s="331"/>
      <c r="E68" s="331"/>
      <c r="F68" s="331"/>
      <c r="G68" s="331"/>
      <c r="H68" s="331"/>
      <c r="I68" s="331"/>
      <c r="J68" s="331"/>
      <c r="K68" s="331"/>
    </row>
    <row r="69" spans="1:11" ht="11.25" customHeight="1" x14ac:dyDescent="0.25">
      <c r="A69" s="231" t="s">
        <v>986</v>
      </c>
      <c r="B69" s="232"/>
      <c r="C69" s="331"/>
      <c r="D69" s="331"/>
      <c r="E69" s="331"/>
      <c r="F69" s="331"/>
      <c r="G69" s="331"/>
      <c r="H69" s="331"/>
      <c r="I69" s="331"/>
      <c r="J69" s="331"/>
      <c r="K69" s="331"/>
    </row>
    <row r="70" spans="1:11" ht="11.25" customHeight="1" x14ac:dyDescent="0.25">
      <c r="A70" s="274" t="s">
        <v>1284</v>
      </c>
      <c r="B70" s="232"/>
      <c r="C70" s="234"/>
      <c r="D70" s="233"/>
      <c r="E70" s="234"/>
      <c r="F70" s="234"/>
      <c r="G70" s="234"/>
      <c r="H70" s="234"/>
      <c r="I70" s="234"/>
      <c r="J70" s="234"/>
      <c r="K70" s="234"/>
    </row>
    <row r="71" spans="1:11" ht="11.25" customHeight="1" x14ac:dyDescent="0.25">
      <c r="A71" s="275" t="s">
        <v>559</v>
      </c>
      <c r="B71" s="232"/>
      <c r="C71" s="393">
        <v>0</v>
      </c>
      <c r="D71" s="393">
        <v>0</v>
      </c>
      <c r="E71" s="393">
        <v>0</v>
      </c>
      <c r="F71" s="393">
        <v>0</v>
      </c>
      <c r="G71" s="393">
        <v>0</v>
      </c>
      <c r="H71" s="393">
        <v>0</v>
      </c>
      <c r="I71" s="393">
        <v>0</v>
      </c>
      <c r="J71" s="393">
        <v>0</v>
      </c>
      <c r="K71" s="393">
        <v>0</v>
      </c>
    </row>
    <row r="72" spans="1:11" ht="11.25" customHeight="1" x14ac:dyDescent="0.25">
      <c r="F72" s="663"/>
    </row>
  </sheetData>
  <mergeCells count="2">
    <mergeCell ref="F2:H2"/>
    <mergeCell ref="I2:K2"/>
  </mergeCells>
  <phoneticPr fontId="4" type="noConversion"/>
  <pageMargins left="0.75" right="0.75" top="1" bottom="1" header="0.5" footer="0.5"/>
  <pageSetup scale="76"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enableFormatConditionsCalculation="0">
    <tabColor indexed="42"/>
    <pageSetUpPr fitToPage="1"/>
  </sheetPr>
  <dimension ref="A1:O96"/>
  <sheetViews>
    <sheetView showGridLines="0" tabSelected="1" workbookViewId="0">
      <pane xSplit="2" ySplit="3" topLeftCell="C11"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338" customWidth="1"/>
    <col min="2" max="2" width="3" style="1928"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997" t="s">
        <v>2538</v>
      </c>
      <c r="B1" s="1997"/>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5"/>
      <c r="I2" s="2697" t="s">
        <v>2482</v>
      </c>
      <c r="J2" s="2698"/>
      <c r="K2" s="2699"/>
    </row>
    <row r="3" spans="1:12" ht="25.5" x14ac:dyDescent="0.25">
      <c r="A3" s="179" t="s">
        <v>667</v>
      </c>
      <c r="B3" s="791"/>
      <c r="C3" s="2009" t="s">
        <v>1065</v>
      </c>
      <c r="D3" s="2016" t="s">
        <v>1065</v>
      </c>
      <c r="E3" s="354" t="s">
        <v>1065</v>
      </c>
      <c r="F3" s="2004" t="s">
        <v>467</v>
      </c>
      <c r="G3" s="2009" t="s">
        <v>1807</v>
      </c>
      <c r="H3" s="354" t="s">
        <v>1808</v>
      </c>
      <c r="I3" s="2004" t="s">
        <v>2483</v>
      </c>
      <c r="J3" s="2009" t="s">
        <v>2484</v>
      </c>
      <c r="K3" s="354" t="s">
        <v>2485</v>
      </c>
    </row>
    <row r="4" spans="1:12" ht="11.25" customHeight="1" x14ac:dyDescent="0.25">
      <c r="A4" s="566" t="s">
        <v>1285</v>
      </c>
      <c r="B4" s="760" t="s">
        <v>1540</v>
      </c>
      <c r="C4" s="2498"/>
      <c r="D4" s="2498"/>
      <c r="E4" s="2499"/>
      <c r="F4" s="2500"/>
      <c r="G4" s="2498"/>
      <c r="H4" s="2501"/>
      <c r="I4" s="2502"/>
      <c r="J4" s="2498"/>
      <c r="K4" s="2499"/>
    </row>
    <row r="5" spans="1:12" ht="5.0999999999999996" customHeight="1" x14ac:dyDescent="0.25">
      <c r="A5" s="651"/>
      <c r="B5" s="318"/>
      <c r="C5" s="640"/>
      <c r="D5" s="640"/>
      <c r="E5" s="2493"/>
      <c r="F5" s="2494"/>
      <c r="G5" s="640"/>
      <c r="H5" s="2495"/>
      <c r="I5" s="2496"/>
      <c r="J5" s="640"/>
      <c r="K5" s="2493"/>
    </row>
    <row r="6" spans="1:12" ht="11.25" customHeight="1" x14ac:dyDescent="0.25">
      <c r="A6" s="651" t="s">
        <v>362</v>
      </c>
      <c r="B6" s="318"/>
      <c r="C6" s="640"/>
      <c r="D6" s="640"/>
      <c r="E6" s="2493"/>
      <c r="F6" s="2494"/>
      <c r="G6" s="640"/>
      <c r="H6" s="2495"/>
      <c r="I6" s="2496"/>
      <c r="J6" s="640"/>
      <c r="K6" s="2493"/>
    </row>
    <row r="7" spans="1:12" ht="18" customHeight="1" x14ac:dyDescent="0.25">
      <c r="A7" s="780" t="s">
        <v>1029</v>
      </c>
      <c r="B7" s="318"/>
      <c r="C7" s="640">
        <v>9873128.3000000007</v>
      </c>
      <c r="D7" s="640">
        <v>12718189.939999999</v>
      </c>
      <c r="E7" s="2493">
        <v>16160831</v>
      </c>
      <c r="F7" s="2494">
        <v>17909000</v>
      </c>
      <c r="G7" s="640">
        <v>17898000</v>
      </c>
      <c r="H7" s="2495">
        <v>17898000</v>
      </c>
      <c r="I7" s="2496">
        <v>20035000</v>
      </c>
      <c r="J7" s="640">
        <v>21841800</v>
      </c>
      <c r="K7" s="2493">
        <v>23446708</v>
      </c>
    </row>
    <row r="8" spans="1:12" ht="11.25" customHeight="1" x14ac:dyDescent="0.25">
      <c r="A8" s="1016" t="s">
        <v>1944</v>
      </c>
      <c r="B8" s="318" t="s">
        <v>2539</v>
      </c>
      <c r="C8" s="2503">
        <v>8588695</v>
      </c>
      <c r="D8" s="2503">
        <v>11196337</v>
      </c>
      <c r="E8" s="2504">
        <v>13985560</v>
      </c>
      <c r="F8" s="2505">
        <v>15669000</v>
      </c>
      <c r="G8" s="2503">
        <v>15618000</v>
      </c>
      <c r="H8" s="2506">
        <v>15618000</v>
      </c>
      <c r="I8" s="2507">
        <v>17705000</v>
      </c>
      <c r="J8" s="2503">
        <v>19160000</v>
      </c>
      <c r="K8" s="2504">
        <v>20713000</v>
      </c>
    </row>
    <row r="9" spans="1:12" ht="11.25" customHeight="1" x14ac:dyDescent="0.25">
      <c r="A9" s="2508" t="s">
        <v>2457</v>
      </c>
      <c r="B9" s="318" t="s">
        <v>2539</v>
      </c>
      <c r="C9" s="2452">
        <v>500000</v>
      </c>
      <c r="D9" s="2452">
        <v>620562</v>
      </c>
      <c r="E9" s="2453">
        <v>1186000</v>
      </c>
      <c r="F9" s="2454">
        <v>1450000</v>
      </c>
      <c r="G9" s="2452">
        <v>1450000</v>
      </c>
      <c r="H9" s="2455">
        <v>1450000</v>
      </c>
      <c r="I9" s="2456">
        <v>1500000</v>
      </c>
      <c r="J9" s="2452">
        <v>1750000</v>
      </c>
      <c r="K9" s="2453">
        <v>1750000</v>
      </c>
    </row>
    <row r="10" spans="1:12" ht="11.25" customHeight="1" x14ac:dyDescent="0.25">
      <c r="A10" s="2508" t="s">
        <v>2458</v>
      </c>
      <c r="B10" s="318" t="s">
        <v>2539</v>
      </c>
      <c r="C10" s="2452">
        <v>735000</v>
      </c>
      <c r="D10" s="2452">
        <v>850000</v>
      </c>
      <c r="E10" s="2453">
        <v>708403</v>
      </c>
      <c r="F10" s="2454">
        <v>790000</v>
      </c>
      <c r="G10" s="2452">
        <v>790000</v>
      </c>
      <c r="H10" s="2455">
        <v>790000</v>
      </c>
      <c r="I10" s="2456">
        <v>800000</v>
      </c>
      <c r="J10" s="2452">
        <v>900000</v>
      </c>
      <c r="K10" s="2453">
        <v>950000</v>
      </c>
    </row>
    <row r="11" spans="1:12" ht="11.25" customHeight="1" x14ac:dyDescent="0.25">
      <c r="A11" s="2508" t="s">
        <v>2459</v>
      </c>
      <c r="B11" s="318" t="s">
        <v>2539</v>
      </c>
      <c r="C11" s="2452">
        <v>49433.3</v>
      </c>
      <c r="D11" s="2452">
        <v>51290.94</v>
      </c>
      <c r="E11" s="2453">
        <v>37737</v>
      </c>
      <c r="F11" s="2454">
        <v>0</v>
      </c>
      <c r="G11" s="2452">
        <v>40000</v>
      </c>
      <c r="H11" s="2455">
        <v>40000</v>
      </c>
      <c r="I11" s="2456">
        <v>30000</v>
      </c>
      <c r="J11" s="2452">
        <v>31800</v>
      </c>
      <c r="K11" s="2453">
        <v>33708</v>
      </c>
    </row>
    <row r="12" spans="1:12" ht="11.25" customHeight="1" x14ac:dyDescent="0.25">
      <c r="A12" s="2508" t="s">
        <v>1940</v>
      </c>
      <c r="B12" s="318" t="s">
        <v>2539</v>
      </c>
      <c r="C12" s="2452">
        <v>0</v>
      </c>
      <c r="D12" s="2452">
        <v>0</v>
      </c>
      <c r="E12" s="2453">
        <v>243131</v>
      </c>
      <c r="F12" s="2454">
        <v>0</v>
      </c>
      <c r="G12" s="2452">
        <v>0</v>
      </c>
      <c r="H12" s="2455">
        <v>0</v>
      </c>
      <c r="I12" s="2456">
        <v>0</v>
      </c>
      <c r="J12" s="2452">
        <v>0</v>
      </c>
      <c r="K12" s="2453">
        <v>0</v>
      </c>
    </row>
    <row r="13" spans="1:12" ht="11.25" customHeight="1" x14ac:dyDescent="0.25">
      <c r="A13" s="2508"/>
      <c r="B13" s="318" t="s">
        <v>2539</v>
      </c>
      <c r="C13" s="2452"/>
      <c r="D13" s="2452"/>
      <c r="E13" s="2453"/>
      <c r="F13" s="2454"/>
      <c r="G13" s="2452"/>
      <c r="H13" s="2455"/>
      <c r="I13" s="2456"/>
      <c r="J13" s="2452"/>
      <c r="K13" s="2453"/>
    </row>
    <row r="14" spans="1:12" ht="18" customHeight="1" x14ac:dyDescent="0.25">
      <c r="A14" s="2508" t="s">
        <v>1244</v>
      </c>
      <c r="B14" s="318"/>
      <c r="C14" s="2509"/>
      <c r="D14" s="2509"/>
      <c r="E14" s="2510"/>
      <c r="F14" s="2511"/>
      <c r="G14" s="2509"/>
      <c r="H14" s="2512"/>
      <c r="I14" s="2513"/>
      <c r="J14" s="2509"/>
      <c r="K14" s="2510"/>
    </row>
    <row r="15" spans="1:12" ht="18" customHeight="1" x14ac:dyDescent="0.25">
      <c r="A15" s="780" t="s">
        <v>1030</v>
      </c>
      <c r="B15" s="318"/>
      <c r="C15" s="640">
        <v>10976371.25</v>
      </c>
      <c r="D15" s="640">
        <v>683782.64</v>
      </c>
      <c r="E15" s="2493">
        <v>1972658</v>
      </c>
      <c r="F15" s="2494">
        <v>0</v>
      </c>
      <c r="G15" s="640">
        <v>725000</v>
      </c>
      <c r="H15" s="2495">
        <v>725000</v>
      </c>
      <c r="I15" s="2496">
        <v>750000</v>
      </c>
      <c r="J15" s="640">
        <v>795000</v>
      </c>
      <c r="K15" s="2493">
        <v>842700</v>
      </c>
      <c r="L15" s="338"/>
    </row>
    <row r="16" spans="1:12" ht="11.25" customHeight="1" x14ac:dyDescent="0.25">
      <c r="A16" s="2508" t="s">
        <v>2296</v>
      </c>
      <c r="B16" s="318" t="s">
        <v>2539</v>
      </c>
      <c r="C16" s="2503">
        <v>240200</v>
      </c>
      <c r="D16" s="2503">
        <v>264000</v>
      </c>
      <c r="E16" s="2504">
        <v>406903</v>
      </c>
      <c r="F16" s="2505">
        <v>0</v>
      </c>
      <c r="G16" s="2503">
        <v>725000</v>
      </c>
      <c r="H16" s="2506">
        <v>725000</v>
      </c>
      <c r="I16" s="2507">
        <v>750000</v>
      </c>
      <c r="J16" s="2503">
        <v>795000</v>
      </c>
      <c r="K16" s="2504">
        <v>842700</v>
      </c>
      <c r="L16" s="338"/>
    </row>
    <row r="17" spans="1:12" ht="11.25" customHeight="1" x14ac:dyDescent="0.25">
      <c r="A17" s="2508" t="s">
        <v>1802</v>
      </c>
      <c r="B17" s="318" t="s">
        <v>2539</v>
      </c>
      <c r="C17" s="2452">
        <v>128000</v>
      </c>
      <c r="D17" s="2452">
        <v>59000</v>
      </c>
      <c r="E17" s="2453">
        <v>0</v>
      </c>
      <c r="F17" s="2454">
        <v>0</v>
      </c>
      <c r="G17" s="2452">
        <v>0</v>
      </c>
      <c r="H17" s="2455">
        <v>0</v>
      </c>
      <c r="I17" s="2456">
        <v>0</v>
      </c>
      <c r="J17" s="2452">
        <v>0</v>
      </c>
      <c r="K17" s="2453">
        <v>0</v>
      </c>
      <c r="L17" s="338"/>
    </row>
    <row r="18" spans="1:12" ht="11.25" customHeight="1" x14ac:dyDescent="0.25">
      <c r="A18" s="2508" t="s">
        <v>1722</v>
      </c>
      <c r="B18" s="318" t="s">
        <v>2539</v>
      </c>
      <c r="C18" s="2452">
        <v>10608171.25</v>
      </c>
      <c r="D18" s="2452">
        <v>360782.64</v>
      </c>
      <c r="E18" s="2453">
        <v>1565755</v>
      </c>
      <c r="F18" s="2454">
        <v>0</v>
      </c>
      <c r="G18" s="2452">
        <v>0</v>
      </c>
      <c r="H18" s="2455">
        <v>0</v>
      </c>
      <c r="I18" s="2456">
        <v>0</v>
      </c>
      <c r="J18" s="2452">
        <v>0</v>
      </c>
      <c r="K18" s="2453">
        <v>0</v>
      </c>
      <c r="L18" s="338"/>
    </row>
    <row r="19" spans="1:12" ht="11.25" customHeight="1" x14ac:dyDescent="0.25">
      <c r="A19" s="2508"/>
      <c r="B19" s="318" t="s">
        <v>2539</v>
      </c>
      <c r="C19" s="2452"/>
      <c r="D19" s="2452"/>
      <c r="E19" s="2453"/>
      <c r="F19" s="2454"/>
      <c r="G19" s="2452"/>
      <c r="H19" s="2455"/>
      <c r="I19" s="2456"/>
      <c r="J19" s="2452"/>
      <c r="K19" s="2453"/>
      <c r="L19" s="338"/>
    </row>
    <row r="20" spans="1:12" ht="11.25" customHeight="1" x14ac:dyDescent="0.25">
      <c r="A20" s="2508" t="s">
        <v>1244</v>
      </c>
      <c r="B20" s="318"/>
      <c r="C20" s="2509"/>
      <c r="D20" s="2509"/>
      <c r="E20" s="2510"/>
      <c r="F20" s="2511"/>
      <c r="G20" s="2509"/>
      <c r="H20" s="2512"/>
      <c r="I20" s="2513"/>
      <c r="J20" s="2509"/>
      <c r="K20" s="2510"/>
      <c r="L20" s="338"/>
    </row>
    <row r="21" spans="1:12" ht="18" customHeight="1" x14ac:dyDescent="0.25">
      <c r="A21" s="780" t="s">
        <v>1066</v>
      </c>
      <c r="B21" s="318"/>
      <c r="C21" s="640">
        <v>0</v>
      </c>
      <c r="D21" s="640">
        <v>0</v>
      </c>
      <c r="E21" s="2493">
        <v>0</v>
      </c>
      <c r="F21" s="2494">
        <v>0</v>
      </c>
      <c r="G21" s="640">
        <v>0</v>
      </c>
      <c r="H21" s="2495">
        <v>0</v>
      </c>
      <c r="I21" s="2496">
        <v>0</v>
      </c>
      <c r="J21" s="640">
        <v>0</v>
      </c>
      <c r="K21" s="2493">
        <v>0</v>
      </c>
      <c r="L21" s="338"/>
    </row>
    <row r="22" spans="1:12" ht="11.25" customHeight="1" x14ac:dyDescent="0.25">
      <c r="A22" s="2514" t="s">
        <v>1097</v>
      </c>
      <c r="B22" s="318"/>
      <c r="C22" s="2503"/>
      <c r="D22" s="2503"/>
      <c r="E22" s="2504"/>
      <c r="F22" s="2505"/>
      <c r="G22" s="2503"/>
      <c r="H22" s="2506"/>
      <c r="I22" s="2507"/>
      <c r="J22" s="2503"/>
      <c r="K22" s="2504"/>
      <c r="L22" s="338"/>
    </row>
    <row r="23" spans="1:12" ht="11.25" customHeight="1" x14ac:dyDescent="0.25">
      <c r="A23" s="2514"/>
      <c r="B23" s="318"/>
      <c r="C23" s="2509"/>
      <c r="D23" s="2509"/>
      <c r="E23" s="2510"/>
      <c r="F23" s="2511"/>
      <c r="G23" s="2509"/>
      <c r="H23" s="2512"/>
      <c r="I23" s="2513"/>
      <c r="J23" s="2509"/>
      <c r="K23" s="2510"/>
      <c r="L23" s="338"/>
    </row>
    <row r="24" spans="1:12" ht="18" customHeight="1" x14ac:dyDescent="0.25">
      <c r="A24" s="780" t="s">
        <v>590</v>
      </c>
      <c r="B24" s="318"/>
      <c r="C24" s="640">
        <v>1242917.26</v>
      </c>
      <c r="D24" s="640">
        <v>110621.12</v>
      </c>
      <c r="E24" s="2493">
        <v>223370</v>
      </c>
      <c r="F24" s="2494">
        <v>0</v>
      </c>
      <c r="G24" s="640">
        <v>0</v>
      </c>
      <c r="H24" s="2495">
        <v>0</v>
      </c>
      <c r="I24" s="2496">
        <v>0</v>
      </c>
      <c r="J24" s="640">
        <v>0</v>
      </c>
      <c r="K24" s="2493">
        <v>0</v>
      </c>
      <c r="L24" s="338"/>
    </row>
    <row r="25" spans="1:12" ht="11.25" customHeight="1" x14ac:dyDescent="0.25">
      <c r="A25" s="2514" t="s">
        <v>2461</v>
      </c>
      <c r="B25" s="318"/>
      <c r="C25" s="2503">
        <v>0</v>
      </c>
      <c r="D25" s="2503">
        <v>0</v>
      </c>
      <c r="E25" s="2504">
        <v>0</v>
      </c>
      <c r="F25" s="2505">
        <v>0</v>
      </c>
      <c r="G25" s="2503">
        <v>0</v>
      </c>
      <c r="H25" s="2506">
        <v>0</v>
      </c>
      <c r="I25" s="2507">
        <v>0</v>
      </c>
      <c r="J25" s="2503">
        <v>0</v>
      </c>
      <c r="K25" s="2504">
        <v>0</v>
      </c>
      <c r="L25" s="338"/>
    </row>
    <row r="26" spans="1:12" ht="11.25" customHeight="1" x14ac:dyDescent="0.25">
      <c r="A26" s="2514" t="s">
        <v>2462</v>
      </c>
      <c r="B26" s="318"/>
      <c r="C26" s="2452">
        <v>0</v>
      </c>
      <c r="D26" s="2452">
        <v>0</v>
      </c>
      <c r="E26" s="2453">
        <v>0</v>
      </c>
      <c r="F26" s="2454">
        <v>0</v>
      </c>
      <c r="G26" s="2452">
        <v>0</v>
      </c>
      <c r="H26" s="2455">
        <v>0</v>
      </c>
      <c r="I26" s="2456">
        <v>0</v>
      </c>
      <c r="J26" s="2452">
        <v>0</v>
      </c>
      <c r="K26" s="2453">
        <v>0</v>
      </c>
      <c r="L26" s="338"/>
    </row>
    <row r="27" spans="1:12" ht="11.25" customHeight="1" x14ac:dyDescent="0.25">
      <c r="A27" s="2514" t="s">
        <v>2460</v>
      </c>
      <c r="B27" s="318"/>
      <c r="C27" s="2452">
        <v>450000</v>
      </c>
      <c r="D27" s="2452">
        <v>0</v>
      </c>
      <c r="E27" s="2453">
        <v>0</v>
      </c>
      <c r="F27" s="2454">
        <v>0</v>
      </c>
      <c r="G27" s="2452">
        <v>0</v>
      </c>
      <c r="H27" s="2455">
        <v>0</v>
      </c>
      <c r="I27" s="2456">
        <v>0</v>
      </c>
      <c r="J27" s="2452">
        <v>0</v>
      </c>
      <c r="K27" s="2453">
        <v>0</v>
      </c>
      <c r="L27" s="338"/>
    </row>
    <row r="28" spans="1:12" ht="11.25" customHeight="1" x14ac:dyDescent="0.25">
      <c r="A28" s="2514" t="s">
        <v>2465</v>
      </c>
      <c r="B28" s="318"/>
      <c r="C28" s="2452">
        <v>792849.21</v>
      </c>
      <c r="D28" s="2452">
        <v>110621.12</v>
      </c>
      <c r="E28" s="2453">
        <v>0</v>
      </c>
      <c r="F28" s="2454">
        <v>0</v>
      </c>
      <c r="G28" s="2452">
        <v>0</v>
      </c>
      <c r="H28" s="2455">
        <v>0</v>
      </c>
      <c r="I28" s="2456">
        <v>0</v>
      </c>
      <c r="J28" s="2452">
        <v>0</v>
      </c>
      <c r="K28" s="2453">
        <v>0</v>
      </c>
      <c r="L28" s="338"/>
    </row>
    <row r="29" spans="1:12" ht="11.25" customHeight="1" x14ac:dyDescent="0.25">
      <c r="A29" s="2514" t="s">
        <v>2467</v>
      </c>
      <c r="B29" s="318"/>
      <c r="C29" s="2452">
        <v>0</v>
      </c>
      <c r="D29" s="2452">
        <v>0</v>
      </c>
      <c r="E29" s="2453">
        <v>0</v>
      </c>
      <c r="F29" s="2454">
        <v>0</v>
      </c>
      <c r="G29" s="2452">
        <v>0</v>
      </c>
      <c r="H29" s="2455">
        <v>0</v>
      </c>
      <c r="I29" s="2456">
        <v>0</v>
      </c>
      <c r="J29" s="2452">
        <v>0</v>
      </c>
      <c r="K29" s="2453">
        <v>0</v>
      </c>
      <c r="L29" s="338"/>
    </row>
    <row r="30" spans="1:12" ht="11.25" customHeight="1" x14ac:dyDescent="0.25">
      <c r="A30" s="2514" t="s">
        <v>2468</v>
      </c>
      <c r="B30" s="318"/>
      <c r="C30" s="2452">
        <v>68.05</v>
      </c>
      <c r="D30" s="2452">
        <v>0</v>
      </c>
      <c r="E30" s="2453">
        <v>0</v>
      </c>
      <c r="F30" s="2454">
        <v>0</v>
      </c>
      <c r="G30" s="2452">
        <v>0</v>
      </c>
      <c r="H30" s="2455">
        <v>0</v>
      </c>
      <c r="I30" s="2456">
        <v>0</v>
      </c>
      <c r="J30" s="2452">
        <v>0</v>
      </c>
      <c r="K30" s="2453">
        <v>0</v>
      </c>
      <c r="L30" s="338"/>
    </row>
    <row r="31" spans="1:12" ht="11.25" customHeight="1" x14ac:dyDescent="0.25">
      <c r="A31" s="2514" t="s">
        <v>2469</v>
      </c>
      <c r="B31" s="318"/>
      <c r="C31" s="2452">
        <v>0</v>
      </c>
      <c r="D31" s="2452">
        <v>0</v>
      </c>
      <c r="E31" s="2453">
        <v>0</v>
      </c>
      <c r="F31" s="2454">
        <v>0</v>
      </c>
      <c r="G31" s="2452">
        <v>0</v>
      </c>
      <c r="H31" s="2455">
        <v>0</v>
      </c>
      <c r="I31" s="2456">
        <v>0</v>
      </c>
      <c r="J31" s="2452">
        <v>0</v>
      </c>
      <c r="K31" s="2453">
        <v>0</v>
      </c>
      <c r="L31" s="338"/>
    </row>
    <row r="32" spans="1:12" ht="11.25" customHeight="1" x14ac:dyDescent="0.25">
      <c r="A32" s="2514" t="s">
        <v>2471</v>
      </c>
      <c r="B32" s="318"/>
      <c r="C32" s="2452">
        <v>0</v>
      </c>
      <c r="D32" s="2452">
        <v>0</v>
      </c>
      <c r="E32" s="2453">
        <v>0</v>
      </c>
      <c r="F32" s="2454">
        <v>0</v>
      </c>
      <c r="G32" s="2452">
        <v>0</v>
      </c>
      <c r="H32" s="2455">
        <v>0</v>
      </c>
      <c r="I32" s="2456">
        <v>0</v>
      </c>
      <c r="J32" s="2452">
        <v>0</v>
      </c>
      <c r="K32" s="2453">
        <v>0</v>
      </c>
      <c r="L32" s="338"/>
    </row>
    <row r="33" spans="1:15" ht="11.25" customHeight="1" x14ac:dyDescent="0.25">
      <c r="A33" s="2514" t="s">
        <v>2473</v>
      </c>
      <c r="B33" s="318"/>
      <c r="C33" s="2452">
        <v>0</v>
      </c>
      <c r="D33" s="2452">
        <v>0</v>
      </c>
      <c r="E33" s="2453">
        <v>223370</v>
      </c>
      <c r="F33" s="2454">
        <v>0</v>
      </c>
      <c r="G33" s="2452">
        <v>0</v>
      </c>
      <c r="H33" s="2455">
        <v>0</v>
      </c>
      <c r="I33" s="2456">
        <v>0</v>
      </c>
      <c r="J33" s="2452">
        <v>0</v>
      </c>
      <c r="K33" s="2453">
        <v>0</v>
      </c>
      <c r="L33" s="338"/>
    </row>
    <row r="34" spans="1:15" ht="11.25" customHeight="1" x14ac:dyDescent="0.25">
      <c r="A34" s="2514" t="s">
        <v>2464</v>
      </c>
      <c r="B34" s="318"/>
      <c r="C34" s="2509">
        <v>0</v>
      </c>
      <c r="D34" s="2509">
        <v>0</v>
      </c>
      <c r="E34" s="2510">
        <v>0</v>
      </c>
      <c r="F34" s="2511">
        <v>0</v>
      </c>
      <c r="G34" s="2509">
        <v>0</v>
      </c>
      <c r="H34" s="2512">
        <v>0</v>
      </c>
      <c r="I34" s="2513">
        <v>0</v>
      </c>
      <c r="J34" s="2509">
        <v>0</v>
      </c>
      <c r="K34" s="2510">
        <v>0</v>
      </c>
      <c r="L34" s="338"/>
    </row>
    <row r="35" spans="1:15" s="635" customFormat="1" ht="15.75" customHeight="1" x14ac:dyDescent="0.2">
      <c r="A35" s="2515" t="s">
        <v>363</v>
      </c>
      <c r="B35" s="2516">
        <v>5</v>
      </c>
      <c r="C35" s="2517">
        <v>22092416.810000002</v>
      </c>
      <c r="D35" s="2517">
        <v>13512593.699999999</v>
      </c>
      <c r="E35" s="2518">
        <v>18356859</v>
      </c>
      <c r="F35" s="2519">
        <v>17909000</v>
      </c>
      <c r="G35" s="2517">
        <v>18623000</v>
      </c>
      <c r="H35" s="2520">
        <v>18623000</v>
      </c>
      <c r="I35" s="2521">
        <v>20785000</v>
      </c>
      <c r="J35" s="2517">
        <v>22636800</v>
      </c>
      <c r="K35" s="2518">
        <v>24289408</v>
      </c>
      <c r="L35" s="704"/>
    </row>
    <row r="36" spans="1:15" ht="5.0999999999999996" customHeight="1" x14ac:dyDescent="0.25">
      <c r="A36" s="658"/>
      <c r="B36" s="318"/>
      <c r="C36" s="2462"/>
      <c r="D36" s="2462"/>
      <c r="E36" s="633"/>
      <c r="F36" s="2449"/>
      <c r="G36" s="2462"/>
      <c r="H36" s="2450"/>
      <c r="I36" s="2463"/>
      <c r="J36" s="2462"/>
      <c r="K36" s="633"/>
      <c r="L36" s="338"/>
    </row>
    <row r="37" spans="1:15" ht="11.25" customHeight="1" x14ac:dyDescent="0.25">
      <c r="A37" s="651" t="s">
        <v>364</v>
      </c>
      <c r="B37" s="318"/>
      <c r="C37" s="2462"/>
      <c r="D37" s="2462"/>
      <c r="E37" s="633"/>
      <c r="F37" s="2449"/>
      <c r="G37" s="2462"/>
      <c r="H37" s="2450"/>
      <c r="I37" s="2463"/>
      <c r="J37" s="2462"/>
      <c r="K37" s="633"/>
      <c r="L37" s="338"/>
    </row>
    <row r="38" spans="1:15" ht="18" customHeight="1" x14ac:dyDescent="0.25">
      <c r="A38" s="780" t="s">
        <v>1029</v>
      </c>
      <c r="B38" s="318"/>
      <c r="C38" s="640">
        <v>3926224</v>
      </c>
      <c r="D38" s="640">
        <v>14858172.880000001</v>
      </c>
      <c r="E38" s="2493">
        <v>4701466</v>
      </c>
      <c r="F38" s="2494">
        <v>9488000</v>
      </c>
      <c r="G38" s="640">
        <v>9488000</v>
      </c>
      <c r="H38" s="2495">
        <v>9488000</v>
      </c>
      <c r="I38" s="2496">
        <v>11510000</v>
      </c>
      <c r="J38" s="640">
        <v>12141000</v>
      </c>
      <c r="K38" s="2493">
        <v>12843000</v>
      </c>
      <c r="L38" s="338"/>
    </row>
    <row r="39" spans="1:15" ht="11.25" customHeight="1" x14ac:dyDescent="0.25">
      <c r="A39" s="2508" t="s">
        <v>1940</v>
      </c>
      <c r="B39" s="318"/>
      <c r="C39" s="2503">
        <v>1000000</v>
      </c>
      <c r="D39" s="2503">
        <v>12441975</v>
      </c>
      <c r="E39" s="2504">
        <v>4645869</v>
      </c>
      <c r="F39" s="2505">
        <v>9488000</v>
      </c>
      <c r="G39" s="2503">
        <v>9488000</v>
      </c>
      <c r="H39" s="2506">
        <v>9488000</v>
      </c>
      <c r="I39" s="2507">
        <v>11510000</v>
      </c>
      <c r="J39" s="2503">
        <v>12141000</v>
      </c>
      <c r="K39" s="2504">
        <v>12843000</v>
      </c>
      <c r="L39" s="338"/>
    </row>
    <row r="40" spans="1:15" ht="11.25" customHeight="1" x14ac:dyDescent="0.25">
      <c r="A40" s="2508" t="s">
        <v>2463</v>
      </c>
      <c r="B40" s="318"/>
      <c r="C40" s="2452">
        <v>360224</v>
      </c>
      <c r="D40" s="2452">
        <v>0</v>
      </c>
      <c r="E40" s="2453">
        <v>0</v>
      </c>
      <c r="F40" s="2454">
        <v>0</v>
      </c>
      <c r="G40" s="2452">
        <v>0</v>
      </c>
      <c r="H40" s="2455">
        <v>0</v>
      </c>
      <c r="I40" s="2456">
        <v>0</v>
      </c>
      <c r="J40" s="2452">
        <v>0</v>
      </c>
      <c r="K40" s="2453">
        <v>0</v>
      </c>
      <c r="L40" s="338"/>
    </row>
    <row r="41" spans="1:15" ht="11.25" customHeight="1" x14ac:dyDescent="0.25">
      <c r="A41" s="2508" t="s">
        <v>2457</v>
      </c>
      <c r="B41" s="318"/>
      <c r="C41" s="2452">
        <v>0</v>
      </c>
      <c r="D41" s="2452">
        <v>129437.88</v>
      </c>
      <c r="E41" s="2453">
        <v>14000</v>
      </c>
      <c r="F41" s="2454">
        <v>0</v>
      </c>
      <c r="G41" s="2452">
        <v>0</v>
      </c>
      <c r="H41" s="2455">
        <v>0</v>
      </c>
      <c r="I41" s="2456">
        <v>0</v>
      </c>
      <c r="J41" s="2452">
        <v>0</v>
      </c>
      <c r="K41" s="2453">
        <v>0</v>
      </c>
      <c r="L41" s="338"/>
    </row>
    <row r="42" spans="1:15" ht="11.25" customHeight="1" x14ac:dyDescent="0.25">
      <c r="A42" s="2508" t="s">
        <v>2458</v>
      </c>
      <c r="B42" s="318"/>
      <c r="C42" s="2452">
        <v>0</v>
      </c>
      <c r="D42" s="2452">
        <v>0</v>
      </c>
      <c r="E42" s="2453">
        <v>41597</v>
      </c>
      <c r="F42" s="2454">
        <v>0</v>
      </c>
      <c r="G42" s="2452">
        <v>0</v>
      </c>
      <c r="H42" s="2455">
        <v>0</v>
      </c>
      <c r="I42" s="2456">
        <v>0</v>
      </c>
      <c r="J42" s="2452">
        <v>0</v>
      </c>
      <c r="K42" s="2453">
        <v>0</v>
      </c>
      <c r="L42" s="338"/>
    </row>
    <row r="43" spans="1:15" ht="11.25" customHeight="1" x14ac:dyDescent="0.25">
      <c r="A43" s="2508" t="s">
        <v>2466</v>
      </c>
      <c r="B43" s="318"/>
      <c r="C43" s="2509">
        <v>2566000</v>
      </c>
      <c r="D43" s="2509">
        <v>2286760</v>
      </c>
      <c r="E43" s="2510">
        <v>0</v>
      </c>
      <c r="F43" s="2511">
        <v>0</v>
      </c>
      <c r="G43" s="2509">
        <v>0</v>
      </c>
      <c r="H43" s="2512">
        <v>0</v>
      </c>
      <c r="I43" s="2513">
        <v>0</v>
      </c>
      <c r="J43" s="2509">
        <v>0</v>
      </c>
      <c r="K43" s="2510">
        <v>0</v>
      </c>
      <c r="L43" s="338"/>
    </row>
    <row r="44" spans="1:15" ht="18" customHeight="1" x14ac:dyDescent="0.25">
      <c r="A44" s="2522" t="s">
        <v>1030</v>
      </c>
      <c r="B44" s="318"/>
      <c r="C44" s="640">
        <v>0</v>
      </c>
      <c r="D44" s="640">
        <v>0</v>
      </c>
      <c r="E44" s="2493">
        <v>1000624</v>
      </c>
      <c r="F44" s="2494">
        <v>0</v>
      </c>
      <c r="G44" s="640">
        <v>0</v>
      </c>
      <c r="H44" s="2495">
        <v>0</v>
      </c>
      <c r="I44" s="2496">
        <v>0</v>
      </c>
      <c r="J44" s="640">
        <v>0</v>
      </c>
      <c r="K44" s="2493">
        <v>0</v>
      </c>
      <c r="L44" s="338"/>
      <c r="O44" s="338"/>
    </row>
    <row r="45" spans="1:15" x14ac:dyDescent="0.25">
      <c r="A45" s="2508" t="s">
        <v>2296</v>
      </c>
      <c r="B45" s="318"/>
      <c r="C45" s="2503">
        <v>0</v>
      </c>
      <c r="D45" s="2503">
        <v>0</v>
      </c>
      <c r="E45" s="2504">
        <v>135097</v>
      </c>
      <c r="F45" s="2505">
        <v>0</v>
      </c>
      <c r="G45" s="2503">
        <v>0</v>
      </c>
      <c r="H45" s="2506">
        <v>0</v>
      </c>
      <c r="I45" s="2507">
        <v>0</v>
      </c>
      <c r="J45" s="2503">
        <v>0</v>
      </c>
      <c r="K45" s="2504">
        <v>0</v>
      </c>
      <c r="L45" s="338"/>
    </row>
    <row r="46" spans="1:15" x14ac:dyDescent="0.25">
      <c r="A46" s="2514" t="s">
        <v>2472</v>
      </c>
      <c r="B46" s="318"/>
      <c r="C46" s="2509">
        <v>0</v>
      </c>
      <c r="D46" s="2509">
        <v>0</v>
      </c>
      <c r="E46" s="2510">
        <v>865527</v>
      </c>
      <c r="F46" s="2511">
        <v>0</v>
      </c>
      <c r="G46" s="2509">
        <v>0</v>
      </c>
      <c r="H46" s="2512">
        <v>0</v>
      </c>
      <c r="I46" s="2513">
        <v>0</v>
      </c>
      <c r="J46" s="2509">
        <v>0</v>
      </c>
      <c r="K46" s="2510">
        <v>0</v>
      </c>
      <c r="L46" s="338"/>
    </row>
    <row r="47" spans="1:15" ht="18" customHeight="1" x14ac:dyDescent="0.25">
      <c r="A47" s="780" t="s">
        <v>1066</v>
      </c>
      <c r="B47" s="318"/>
      <c r="C47" s="640">
        <v>0</v>
      </c>
      <c r="D47" s="640">
        <v>0</v>
      </c>
      <c r="E47" s="2493">
        <v>0</v>
      </c>
      <c r="F47" s="2494">
        <v>0</v>
      </c>
      <c r="G47" s="640">
        <v>0</v>
      </c>
      <c r="H47" s="2495">
        <v>0</v>
      </c>
      <c r="I47" s="2496">
        <v>0</v>
      </c>
      <c r="J47" s="640">
        <v>0</v>
      </c>
      <c r="K47" s="2493">
        <v>0</v>
      </c>
      <c r="L47" s="338"/>
    </row>
    <row r="48" spans="1:15" ht="11.25" customHeight="1" x14ac:dyDescent="0.25">
      <c r="A48" s="2514" t="s">
        <v>1097</v>
      </c>
      <c r="B48" s="318"/>
      <c r="C48" s="2503"/>
      <c r="D48" s="2503"/>
      <c r="E48" s="2504"/>
      <c r="F48" s="2505"/>
      <c r="G48" s="2503"/>
      <c r="H48" s="2506"/>
      <c r="I48" s="2507"/>
      <c r="J48" s="2503"/>
      <c r="K48" s="2504"/>
      <c r="L48" s="338"/>
    </row>
    <row r="49" spans="1:12" ht="11.25" customHeight="1" x14ac:dyDescent="0.25">
      <c r="A49" s="2514"/>
      <c r="B49" s="318"/>
      <c r="C49" s="2509"/>
      <c r="D49" s="2509"/>
      <c r="E49" s="2510"/>
      <c r="F49" s="2511"/>
      <c r="G49" s="2509"/>
      <c r="H49" s="2512"/>
      <c r="I49" s="2513"/>
      <c r="J49" s="2509"/>
      <c r="K49" s="2510"/>
      <c r="L49" s="338"/>
    </row>
    <row r="50" spans="1:12" ht="18" customHeight="1" x14ac:dyDescent="0.25">
      <c r="A50" s="780" t="s">
        <v>590</v>
      </c>
      <c r="B50" s="318"/>
      <c r="C50" s="640">
        <v>158956.94</v>
      </c>
      <c r="D50" s="640">
        <v>0</v>
      </c>
      <c r="E50" s="2493">
        <v>0</v>
      </c>
      <c r="F50" s="2494">
        <v>0</v>
      </c>
      <c r="G50" s="640">
        <v>0</v>
      </c>
      <c r="H50" s="2495">
        <v>0</v>
      </c>
      <c r="I50" s="2496">
        <v>0</v>
      </c>
      <c r="J50" s="640">
        <v>0</v>
      </c>
      <c r="K50" s="2493">
        <v>0</v>
      </c>
      <c r="L50" s="338"/>
    </row>
    <row r="51" spans="1:12" ht="11.25" customHeight="1" x14ac:dyDescent="0.25">
      <c r="A51" s="2514" t="s">
        <v>2464</v>
      </c>
      <c r="B51" s="318"/>
      <c r="C51" s="2503">
        <v>0</v>
      </c>
      <c r="D51" s="2503">
        <v>0</v>
      </c>
      <c r="E51" s="2504">
        <v>0</v>
      </c>
      <c r="F51" s="2505">
        <v>0</v>
      </c>
      <c r="G51" s="2503">
        <v>0</v>
      </c>
      <c r="H51" s="2506">
        <v>0</v>
      </c>
      <c r="I51" s="2507">
        <v>0</v>
      </c>
      <c r="J51" s="2503">
        <v>0</v>
      </c>
      <c r="K51" s="2504">
        <v>0</v>
      </c>
      <c r="L51" s="338"/>
    </row>
    <row r="52" spans="1:12" ht="11.25" customHeight="1" x14ac:dyDescent="0.25">
      <c r="A52" s="2514" t="s">
        <v>2470</v>
      </c>
      <c r="B52" s="318"/>
      <c r="C52" s="2452">
        <v>158956.94</v>
      </c>
      <c r="D52" s="2452">
        <v>0</v>
      </c>
      <c r="E52" s="2453">
        <v>0</v>
      </c>
      <c r="F52" s="2454">
        <v>0</v>
      </c>
      <c r="G52" s="2452">
        <v>0</v>
      </c>
      <c r="H52" s="2455">
        <v>0</v>
      </c>
      <c r="I52" s="2456">
        <v>0</v>
      </c>
      <c r="J52" s="2452">
        <v>0</v>
      </c>
      <c r="K52" s="2453">
        <v>0</v>
      </c>
      <c r="L52" s="338"/>
    </row>
    <row r="53" spans="1:12" ht="11.25" customHeight="1" x14ac:dyDescent="0.25">
      <c r="A53" s="2514"/>
      <c r="B53" s="318"/>
      <c r="C53" s="2452"/>
      <c r="D53" s="2452"/>
      <c r="E53" s="2453"/>
      <c r="F53" s="2454"/>
      <c r="G53" s="2452"/>
      <c r="H53" s="2455"/>
      <c r="I53" s="2456"/>
      <c r="J53" s="2452"/>
      <c r="K53" s="2453"/>
      <c r="L53" s="338"/>
    </row>
    <row r="54" spans="1:12" ht="11.25" customHeight="1" x14ac:dyDescent="0.25">
      <c r="A54" s="2514"/>
      <c r="B54" s="318"/>
      <c r="C54" s="2509"/>
      <c r="D54" s="2509"/>
      <c r="E54" s="2510"/>
      <c r="F54" s="2511"/>
      <c r="G54" s="2509"/>
      <c r="H54" s="2512"/>
      <c r="I54" s="2513"/>
      <c r="J54" s="2509"/>
      <c r="K54" s="2510"/>
      <c r="L54" s="338"/>
    </row>
    <row r="55" spans="1:12" ht="15.75" customHeight="1" x14ac:dyDescent="0.25">
      <c r="A55" s="2523" t="s">
        <v>365</v>
      </c>
      <c r="B55" s="2524">
        <v>5</v>
      </c>
      <c r="C55" s="640">
        <v>4085180.94</v>
      </c>
      <c r="D55" s="640">
        <v>14858172.880000001</v>
      </c>
      <c r="E55" s="2493">
        <v>5702090</v>
      </c>
      <c r="F55" s="2494">
        <v>9488000</v>
      </c>
      <c r="G55" s="640">
        <v>9488000</v>
      </c>
      <c r="H55" s="2495">
        <v>9488000</v>
      </c>
      <c r="I55" s="2496">
        <v>11510000</v>
      </c>
      <c r="J55" s="640">
        <v>12141000</v>
      </c>
      <c r="K55" s="2493">
        <v>12843000</v>
      </c>
      <c r="L55" s="338"/>
    </row>
    <row r="56" spans="1:12" s="635" customFormat="1" ht="16.5" customHeight="1" x14ac:dyDescent="0.2">
      <c r="A56" s="2525" t="s">
        <v>366</v>
      </c>
      <c r="B56" s="2526"/>
      <c r="C56" s="2527">
        <v>26177597.750000004</v>
      </c>
      <c r="D56" s="2527">
        <v>28370766.579999998</v>
      </c>
      <c r="E56" s="2528">
        <v>24058949</v>
      </c>
      <c r="F56" s="2529">
        <v>27397000</v>
      </c>
      <c r="G56" s="2527">
        <v>28111000</v>
      </c>
      <c r="H56" s="2530">
        <v>28111000</v>
      </c>
      <c r="I56" s="2531">
        <v>32295000</v>
      </c>
      <c r="J56" s="2527">
        <v>34777800</v>
      </c>
      <c r="K56" s="2528">
        <v>37132408</v>
      </c>
      <c r="L56" s="704"/>
    </row>
    <row r="57" spans="1:12" s="625" customFormat="1" x14ac:dyDescent="0.25">
      <c r="A57" s="2223" t="s">
        <v>986</v>
      </c>
      <c r="B57" s="1927"/>
      <c r="C57" s="839"/>
      <c r="D57" s="839"/>
      <c r="E57" s="839"/>
      <c r="F57" s="839"/>
      <c r="G57" s="839"/>
      <c r="H57" s="839"/>
      <c r="I57" s="839"/>
      <c r="J57" s="839"/>
      <c r="K57" s="839"/>
      <c r="L57" s="873"/>
    </row>
    <row r="58" spans="1:12" s="625" customFormat="1" ht="11.25" customHeight="1" x14ac:dyDescent="0.25">
      <c r="A58" s="2046" t="s">
        <v>307</v>
      </c>
      <c r="B58" s="1927"/>
      <c r="C58" s="2083"/>
      <c r="D58" s="2083"/>
      <c r="E58" s="839"/>
      <c r="F58" s="839"/>
      <c r="G58" s="839"/>
      <c r="H58" s="839"/>
      <c r="I58" s="839"/>
      <c r="J58" s="839"/>
      <c r="K58" s="839"/>
    </row>
    <row r="59" spans="1:12" s="625" customFormat="1" ht="11.25" customHeight="1" x14ac:dyDescent="0.25">
      <c r="A59" s="931" t="s">
        <v>1409</v>
      </c>
      <c r="B59" s="1927"/>
      <c r="C59" s="2083"/>
      <c r="D59" s="2083"/>
      <c r="E59" s="839"/>
      <c r="F59" s="839"/>
      <c r="G59" s="839"/>
      <c r="H59" s="839"/>
      <c r="I59" s="839"/>
      <c r="J59" s="839"/>
      <c r="K59" s="839"/>
    </row>
    <row r="60" spans="1:12" s="625" customFormat="1" ht="11.25" customHeight="1" x14ac:dyDescent="0.25">
      <c r="A60" s="931" t="s">
        <v>589</v>
      </c>
      <c r="B60" s="1927"/>
      <c r="C60" s="2083"/>
      <c r="D60" s="2083"/>
      <c r="E60" s="839"/>
      <c r="F60" s="839"/>
      <c r="G60" s="839"/>
      <c r="H60" s="839"/>
      <c r="I60" s="839"/>
      <c r="J60" s="839"/>
      <c r="K60" s="839"/>
    </row>
    <row r="61" spans="1:12" s="625" customFormat="1" ht="11.25" customHeight="1" x14ac:dyDescent="0.25">
      <c r="A61" s="2046" t="s">
        <v>1373</v>
      </c>
      <c r="B61" s="1927"/>
      <c r="C61" s="2083"/>
      <c r="D61" s="2083"/>
      <c r="E61" s="839"/>
      <c r="F61" s="839"/>
      <c r="G61" s="839"/>
      <c r="H61" s="839"/>
      <c r="I61" s="839"/>
      <c r="J61" s="839"/>
      <c r="K61" s="839"/>
    </row>
    <row r="62" spans="1:12" s="625" customFormat="1" ht="11.25" customHeight="1" x14ac:dyDescent="0.25">
      <c r="A62" s="1999" t="s">
        <v>305</v>
      </c>
      <c r="B62" s="2255"/>
      <c r="C62" s="1777"/>
      <c r="D62" s="2532"/>
      <c r="E62" s="1777"/>
      <c r="F62" s="2532"/>
      <c r="G62" s="1777"/>
      <c r="H62" s="1777"/>
      <c r="I62" s="1777"/>
      <c r="J62" s="1777"/>
      <c r="K62" s="1777"/>
    </row>
    <row r="63" spans="1:12" s="625" customFormat="1" ht="11.25" customHeight="1" x14ac:dyDescent="0.25">
      <c r="A63" s="1999" t="s">
        <v>910</v>
      </c>
      <c r="B63" s="1974"/>
      <c r="C63" s="873"/>
      <c r="D63" s="873"/>
      <c r="E63" s="873"/>
      <c r="F63" s="873"/>
      <c r="G63" s="873"/>
      <c r="H63" s="873"/>
      <c r="I63" s="873"/>
      <c r="J63" s="873"/>
      <c r="K63" s="873"/>
    </row>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sheetData>
  <mergeCells count="2">
    <mergeCell ref="F2:H2"/>
    <mergeCell ref="I2:K2"/>
  </mergeCells>
  <phoneticPr fontId="4" type="noConversion"/>
  <dataValidations xWindow="123" yWindow="565" count="4">
    <dataValidation type="list" showInputMessage="1" showErrorMessage="1" prompt="Select transfer/grant description" sqref="A45 A16:A19">
      <formula1>GrantProvOpex</formula1>
    </dataValidation>
    <dataValidation type="list" showInputMessage="1" showErrorMessage="1" prompt="Select transfer/grant description" sqref="A41:A42 A9:A11 A13">
      <formula1>GrantNatOpex</formula1>
    </dataValidation>
    <dataValidation type="list" showInputMessage="1" showErrorMessage="1" prompt="Select transfer/grant description" sqref="A39:A40 A12">
      <formula1>GrantNatCapex</formula1>
    </dataValidation>
    <dataValidation showInputMessage="1" showErrorMessage="1" prompt="Select transfer/grant description" sqref="A8"/>
  </dataValidations>
  <pageMargins left="0.75" right="0.75" top="1" bottom="1" header="0.5" footer="0.5"/>
  <pageSetup scale="77"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enableFormatConditionsCalculation="0">
    <tabColor indexed="42"/>
    <pageSetUpPr fitToPage="1"/>
  </sheetPr>
  <dimension ref="A1:O90"/>
  <sheetViews>
    <sheetView showGridLines="0" tabSelected="1" workbookViewId="0">
      <pane xSplit="2" ySplit="3" topLeftCell="C26" activePane="bottomRight" state="frozen"/>
      <selection activeCell="A10" sqref="A10"/>
      <selection pane="topRight" activeCell="A10" sqref="A10"/>
      <selection pane="bottomLeft" activeCell="A10" sqref="A10"/>
      <selection pane="bottomRight" activeCell="I39" sqref="I39"/>
    </sheetView>
  </sheetViews>
  <sheetFormatPr defaultRowHeight="12.75" x14ac:dyDescent="0.25"/>
  <cols>
    <col min="1" max="1" width="30.7109375" style="338" customWidth="1"/>
    <col min="2" max="2" width="3" style="1928"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1" ht="13.5" customHeight="1" x14ac:dyDescent="0.25">
      <c r="A1" s="1997" t="s">
        <v>2540</v>
      </c>
      <c r="B1" s="1997"/>
      <c r="C1" s="1997"/>
      <c r="D1" s="1997"/>
      <c r="E1" s="1997"/>
      <c r="F1" s="1997"/>
      <c r="G1" s="1997"/>
      <c r="H1" s="1997"/>
      <c r="I1" s="1997"/>
      <c r="J1" s="1997"/>
      <c r="K1" s="1997"/>
    </row>
    <row r="2" spans="1:11" ht="28.5" customHeight="1" x14ac:dyDescent="0.25">
      <c r="A2" s="786" t="s">
        <v>775</v>
      </c>
      <c r="B2" s="379" t="s">
        <v>429</v>
      </c>
      <c r="C2" s="149" t="s">
        <v>2478</v>
      </c>
      <c r="D2" s="634" t="s">
        <v>2479</v>
      </c>
      <c r="E2" s="1996" t="s">
        <v>2480</v>
      </c>
      <c r="F2" s="2700" t="s">
        <v>2481</v>
      </c>
      <c r="G2" s="2701"/>
      <c r="H2" s="2705"/>
      <c r="I2" s="2697" t="s">
        <v>2482</v>
      </c>
      <c r="J2" s="2698"/>
      <c r="K2" s="2699"/>
    </row>
    <row r="3" spans="1:11" ht="25.5" x14ac:dyDescent="0.25">
      <c r="A3" s="179" t="s">
        <v>667</v>
      </c>
      <c r="B3" s="791"/>
      <c r="C3" s="2009" t="s">
        <v>1065</v>
      </c>
      <c r="D3" s="2016" t="s">
        <v>1065</v>
      </c>
      <c r="E3" s="354" t="s">
        <v>1065</v>
      </c>
      <c r="F3" s="2004" t="s">
        <v>467</v>
      </c>
      <c r="G3" s="2009" t="s">
        <v>1807</v>
      </c>
      <c r="H3" s="354" t="s">
        <v>1808</v>
      </c>
      <c r="I3" s="2004" t="s">
        <v>2483</v>
      </c>
      <c r="J3" s="2009" t="s">
        <v>2484</v>
      </c>
      <c r="K3" s="354" t="s">
        <v>2485</v>
      </c>
    </row>
    <row r="4" spans="1:11" ht="11.25" customHeight="1" x14ac:dyDescent="0.25">
      <c r="A4" s="566" t="s">
        <v>308</v>
      </c>
      <c r="B4" s="760">
        <v>1</v>
      </c>
      <c r="C4" s="2498"/>
      <c r="D4" s="2498"/>
      <c r="E4" s="2499"/>
      <c r="F4" s="2500"/>
      <c r="G4" s="2498"/>
      <c r="H4" s="2501"/>
      <c r="I4" s="2502"/>
      <c r="J4" s="2498"/>
      <c r="K4" s="2499"/>
    </row>
    <row r="5" spans="1:11" ht="5.0999999999999996" customHeight="1" x14ac:dyDescent="0.25">
      <c r="A5" s="651"/>
      <c r="B5" s="318"/>
      <c r="C5" s="640"/>
      <c r="D5" s="640"/>
      <c r="E5" s="2493"/>
      <c r="F5" s="2494"/>
      <c r="G5" s="640"/>
      <c r="H5" s="2495"/>
      <c r="I5" s="2496"/>
      <c r="J5" s="640"/>
      <c r="K5" s="2493"/>
    </row>
    <row r="6" spans="1:11" ht="11.25" customHeight="1" x14ac:dyDescent="0.25">
      <c r="A6" s="651" t="s">
        <v>358</v>
      </c>
      <c r="B6" s="318"/>
      <c r="C6" s="640"/>
      <c r="D6" s="640"/>
      <c r="E6" s="2493"/>
      <c r="F6" s="2494"/>
      <c r="G6" s="640"/>
      <c r="H6" s="2495"/>
      <c r="I6" s="2496"/>
      <c r="J6" s="640"/>
      <c r="K6" s="2493"/>
    </row>
    <row r="7" spans="1:11" ht="18" customHeight="1" x14ac:dyDescent="0.25">
      <c r="A7" s="780" t="s">
        <v>1029</v>
      </c>
      <c r="B7" s="318"/>
      <c r="C7" s="640">
        <v>9946787.3200000003</v>
      </c>
      <c r="D7" s="640">
        <v>12718189.939999999</v>
      </c>
      <c r="E7" s="2493">
        <v>15846719</v>
      </c>
      <c r="F7" s="2494">
        <v>17909000</v>
      </c>
      <c r="G7" s="640">
        <v>17898000</v>
      </c>
      <c r="H7" s="2495">
        <v>17898000</v>
      </c>
      <c r="I7" s="2496">
        <v>20035000</v>
      </c>
      <c r="J7" s="640">
        <v>21841800</v>
      </c>
      <c r="K7" s="2493">
        <v>23446708</v>
      </c>
    </row>
    <row r="8" spans="1:11" ht="11.25" customHeight="1" x14ac:dyDescent="0.25">
      <c r="A8" s="332" t="s">
        <v>1944</v>
      </c>
      <c r="B8" s="318"/>
      <c r="C8" s="2503">
        <v>8588695</v>
      </c>
      <c r="D8" s="2503">
        <v>11196337</v>
      </c>
      <c r="E8" s="2504">
        <v>13985560</v>
      </c>
      <c r="F8" s="2505">
        <v>15669000</v>
      </c>
      <c r="G8" s="2503">
        <v>15618000</v>
      </c>
      <c r="H8" s="2506">
        <v>15618000</v>
      </c>
      <c r="I8" s="2507">
        <v>17705000</v>
      </c>
      <c r="J8" s="2503">
        <v>19160000</v>
      </c>
      <c r="K8" s="2504">
        <v>20713000</v>
      </c>
    </row>
    <row r="9" spans="1:11" ht="11.25" customHeight="1" x14ac:dyDescent="0.25">
      <c r="A9" s="332" t="s">
        <v>2457</v>
      </c>
      <c r="B9" s="318"/>
      <c r="C9" s="2452">
        <v>500000</v>
      </c>
      <c r="D9" s="2452">
        <v>620562</v>
      </c>
      <c r="E9" s="2453">
        <v>1186000</v>
      </c>
      <c r="F9" s="2454">
        <v>1450000</v>
      </c>
      <c r="G9" s="2452">
        <v>1450000</v>
      </c>
      <c r="H9" s="2455">
        <v>1450000</v>
      </c>
      <c r="I9" s="2456">
        <v>1500000</v>
      </c>
      <c r="J9" s="2452">
        <v>1750000</v>
      </c>
      <c r="K9" s="2453">
        <v>1750000</v>
      </c>
    </row>
    <row r="10" spans="1:11" ht="11.25" customHeight="1" x14ac:dyDescent="0.25">
      <c r="A10" s="332" t="s">
        <v>2458</v>
      </c>
      <c r="B10" s="318"/>
      <c r="C10" s="2452">
        <v>808659.02</v>
      </c>
      <c r="D10" s="2452">
        <v>850000</v>
      </c>
      <c r="E10" s="2453">
        <v>394291</v>
      </c>
      <c r="F10" s="2454">
        <v>790000</v>
      </c>
      <c r="G10" s="2452">
        <v>790000</v>
      </c>
      <c r="H10" s="2455">
        <v>790000</v>
      </c>
      <c r="I10" s="2456">
        <v>800000</v>
      </c>
      <c r="J10" s="2452">
        <v>900000</v>
      </c>
      <c r="K10" s="2453">
        <v>950000</v>
      </c>
    </row>
    <row r="11" spans="1:11" ht="11.25" customHeight="1" x14ac:dyDescent="0.25">
      <c r="A11" s="332" t="s">
        <v>2459</v>
      </c>
      <c r="B11" s="318"/>
      <c r="C11" s="2452">
        <v>49433.3</v>
      </c>
      <c r="D11" s="2452">
        <v>51290.94</v>
      </c>
      <c r="E11" s="2453">
        <v>37737</v>
      </c>
      <c r="F11" s="2454">
        <v>0</v>
      </c>
      <c r="G11" s="2452">
        <v>40000</v>
      </c>
      <c r="H11" s="2455">
        <v>40000</v>
      </c>
      <c r="I11" s="2456">
        <v>30000</v>
      </c>
      <c r="J11" s="2452">
        <v>31800</v>
      </c>
      <c r="K11" s="2453">
        <v>33708</v>
      </c>
    </row>
    <row r="12" spans="1:11" ht="11.25" customHeight="1" x14ac:dyDescent="0.25">
      <c r="A12" s="332" t="s">
        <v>1940</v>
      </c>
      <c r="B12" s="318"/>
      <c r="C12" s="2452">
        <v>0</v>
      </c>
      <c r="D12" s="2452">
        <v>0</v>
      </c>
      <c r="E12" s="2453">
        <v>243131</v>
      </c>
      <c r="F12" s="2454">
        <v>0</v>
      </c>
      <c r="G12" s="2452">
        <v>0</v>
      </c>
      <c r="H12" s="2455">
        <v>0</v>
      </c>
      <c r="I12" s="2456">
        <v>0</v>
      </c>
      <c r="J12" s="2452">
        <v>0</v>
      </c>
      <c r="K12" s="2453">
        <v>0</v>
      </c>
    </row>
    <row r="13" spans="1:11" ht="11.25" customHeight="1" x14ac:dyDescent="0.25">
      <c r="A13" s="332" t="s">
        <v>2539</v>
      </c>
      <c r="B13" s="318"/>
      <c r="C13" s="2452"/>
      <c r="D13" s="2452"/>
      <c r="E13" s="2453"/>
      <c r="F13" s="2454"/>
      <c r="G13" s="2452"/>
      <c r="H13" s="2455"/>
      <c r="I13" s="2456"/>
      <c r="J13" s="2452"/>
      <c r="K13" s="2453"/>
    </row>
    <row r="14" spans="1:11" ht="11.25" customHeight="1" x14ac:dyDescent="0.25">
      <c r="A14" s="2508" t="s">
        <v>1244</v>
      </c>
      <c r="B14" s="318"/>
      <c r="C14" s="2509"/>
      <c r="D14" s="2509"/>
      <c r="E14" s="2510"/>
      <c r="F14" s="2511"/>
      <c r="G14" s="2509"/>
      <c r="H14" s="2512"/>
      <c r="I14" s="2513"/>
      <c r="J14" s="2509"/>
      <c r="K14" s="2510"/>
    </row>
    <row r="15" spans="1:11" ht="18" customHeight="1" x14ac:dyDescent="0.25">
      <c r="A15" s="780" t="s">
        <v>1030</v>
      </c>
      <c r="B15" s="318"/>
      <c r="C15" s="640">
        <v>17325039.490000002</v>
      </c>
      <c r="D15" s="640">
        <v>384666.71059999999</v>
      </c>
      <c r="E15" s="2493">
        <v>231810</v>
      </c>
      <c r="F15" s="2494">
        <v>0</v>
      </c>
      <c r="G15" s="640">
        <v>725000</v>
      </c>
      <c r="H15" s="2495">
        <v>725000</v>
      </c>
      <c r="I15" s="2496">
        <v>750000</v>
      </c>
      <c r="J15" s="640">
        <v>795000</v>
      </c>
      <c r="K15" s="2493">
        <v>842700</v>
      </c>
    </row>
    <row r="16" spans="1:11" ht="11.25" customHeight="1" x14ac:dyDescent="0.25">
      <c r="A16" s="332" t="s">
        <v>2296</v>
      </c>
      <c r="B16" s="318"/>
      <c r="C16" s="2503">
        <v>436399.02</v>
      </c>
      <c r="D16" s="2503">
        <v>264000</v>
      </c>
      <c r="E16" s="2504">
        <v>231810</v>
      </c>
      <c r="F16" s="2505">
        <v>0</v>
      </c>
      <c r="G16" s="2503">
        <v>725000</v>
      </c>
      <c r="H16" s="2506">
        <v>725000</v>
      </c>
      <c r="I16" s="2507">
        <v>750000</v>
      </c>
      <c r="J16" s="2503">
        <v>795000</v>
      </c>
      <c r="K16" s="2504">
        <v>842700</v>
      </c>
    </row>
    <row r="17" spans="1:12" ht="11.25" customHeight="1" x14ac:dyDescent="0.25">
      <c r="A17" s="332" t="s">
        <v>1802</v>
      </c>
      <c r="B17" s="318"/>
      <c r="C17" s="2452">
        <v>128000</v>
      </c>
      <c r="D17" s="2452">
        <v>59000</v>
      </c>
      <c r="E17" s="2453">
        <v>0</v>
      </c>
      <c r="F17" s="2454">
        <v>0</v>
      </c>
      <c r="G17" s="2452">
        <v>0</v>
      </c>
      <c r="H17" s="2455">
        <v>0</v>
      </c>
      <c r="I17" s="2456">
        <v>0</v>
      </c>
      <c r="J17" s="2452">
        <v>0</v>
      </c>
      <c r="K17" s="2453">
        <v>0</v>
      </c>
    </row>
    <row r="18" spans="1:12" ht="11.25" customHeight="1" x14ac:dyDescent="0.25">
      <c r="A18" s="332" t="s">
        <v>1722</v>
      </c>
      <c r="B18" s="318"/>
      <c r="C18" s="2452">
        <v>16760640.470000001</v>
      </c>
      <c r="D18" s="2452">
        <v>61666.710599999999</v>
      </c>
      <c r="E18" s="2453">
        <v>0</v>
      </c>
      <c r="F18" s="2454">
        <v>0</v>
      </c>
      <c r="G18" s="2452">
        <v>0</v>
      </c>
      <c r="H18" s="2455">
        <v>0</v>
      </c>
      <c r="I18" s="2456">
        <v>0</v>
      </c>
      <c r="J18" s="2452">
        <v>0</v>
      </c>
      <c r="K18" s="2453">
        <v>0</v>
      </c>
    </row>
    <row r="19" spans="1:12" ht="11.25" customHeight="1" x14ac:dyDescent="0.25">
      <c r="A19" s="332" t="s">
        <v>2539</v>
      </c>
      <c r="B19" s="318"/>
      <c r="C19" s="2452"/>
      <c r="D19" s="2452"/>
      <c r="E19" s="2453"/>
      <c r="F19" s="2454"/>
      <c r="G19" s="2452"/>
      <c r="H19" s="2455"/>
      <c r="I19" s="2456"/>
      <c r="J19" s="2452"/>
      <c r="K19" s="2453"/>
    </row>
    <row r="20" spans="1:12" ht="11.25" customHeight="1" x14ac:dyDescent="0.25">
      <c r="A20" s="2508" t="s">
        <v>1244</v>
      </c>
      <c r="B20" s="318"/>
      <c r="C20" s="2509"/>
      <c r="D20" s="2509"/>
      <c r="E20" s="2510"/>
      <c r="F20" s="2511"/>
      <c r="G20" s="2509"/>
      <c r="H20" s="2512"/>
      <c r="I20" s="2513"/>
      <c r="J20" s="2509"/>
      <c r="K20" s="2510"/>
      <c r="L20" s="338"/>
    </row>
    <row r="21" spans="1:12" ht="18" customHeight="1" x14ac:dyDescent="0.25">
      <c r="A21" s="780" t="s">
        <v>1066</v>
      </c>
      <c r="B21" s="318"/>
      <c r="C21" s="640">
        <v>0</v>
      </c>
      <c r="D21" s="640">
        <v>0</v>
      </c>
      <c r="E21" s="2493">
        <v>0</v>
      </c>
      <c r="F21" s="2494">
        <v>0</v>
      </c>
      <c r="G21" s="640">
        <v>0</v>
      </c>
      <c r="H21" s="2495">
        <v>0</v>
      </c>
      <c r="I21" s="2496">
        <v>0</v>
      </c>
      <c r="J21" s="640">
        <v>0</v>
      </c>
      <c r="K21" s="2493">
        <v>0</v>
      </c>
      <c r="L21" s="338"/>
    </row>
    <row r="22" spans="1:12" ht="11.25" customHeight="1" x14ac:dyDescent="0.25">
      <c r="A22" s="2514" t="s">
        <v>1097</v>
      </c>
      <c r="B22" s="318"/>
      <c r="C22" s="2503"/>
      <c r="D22" s="2503"/>
      <c r="E22" s="2504"/>
      <c r="F22" s="2505"/>
      <c r="G22" s="2503"/>
      <c r="H22" s="2506"/>
      <c r="I22" s="2507"/>
      <c r="J22" s="2503"/>
      <c r="K22" s="2504"/>
      <c r="L22" s="338"/>
    </row>
    <row r="23" spans="1:12" ht="11.25" customHeight="1" x14ac:dyDescent="0.25">
      <c r="A23" s="2514"/>
      <c r="B23" s="318"/>
      <c r="C23" s="2509"/>
      <c r="D23" s="2509"/>
      <c r="E23" s="2510"/>
      <c r="F23" s="2511"/>
      <c r="G23" s="2509"/>
      <c r="H23" s="2512"/>
      <c r="I23" s="2513"/>
      <c r="J23" s="2509"/>
      <c r="K23" s="2510"/>
      <c r="L23" s="338"/>
    </row>
    <row r="24" spans="1:12" ht="18" customHeight="1" x14ac:dyDescent="0.25">
      <c r="A24" s="780" t="s">
        <v>590</v>
      </c>
      <c r="B24" s="318"/>
      <c r="C24" s="640">
        <v>1825713.7499999998</v>
      </c>
      <c r="D24" s="640">
        <v>148776.91999999998</v>
      </c>
      <c r="E24" s="2493">
        <v>223370</v>
      </c>
      <c r="F24" s="2494">
        <v>0</v>
      </c>
      <c r="G24" s="640">
        <v>0</v>
      </c>
      <c r="H24" s="2495">
        <v>0</v>
      </c>
      <c r="I24" s="2496">
        <v>0</v>
      </c>
      <c r="J24" s="640">
        <v>0</v>
      </c>
      <c r="K24" s="2493">
        <v>0</v>
      </c>
      <c r="L24" s="338"/>
    </row>
    <row r="25" spans="1:12" ht="11.25" customHeight="1" x14ac:dyDescent="0.25">
      <c r="A25" s="2514" t="s">
        <v>2461</v>
      </c>
      <c r="B25" s="318"/>
      <c r="C25" s="2503">
        <v>1142.27</v>
      </c>
      <c r="D25" s="2503">
        <v>0</v>
      </c>
      <c r="E25" s="2504">
        <v>0</v>
      </c>
      <c r="F25" s="2505">
        <v>0</v>
      </c>
      <c r="G25" s="2503">
        <v>0</v>
      </c>
      <c r="H25" s="2506">
        <v>0</v>
      </c>
      <c r="I25" s="2507">
        <v>0</v>
      </c>
      <c r="J25" s="2503">
        <v>0</v>
      </c>
      <c r="K25" s="2504">
        <v>0</v>
      </c>
      <c r="L25" s="338"/>
    </row>
    <row r="26" spans="1:12" ht="11.25" customHeight="1" x14ac:dyDescent="0.25">
      <c r="A26" s="2514" t="s">
        <v>2462</v>
      </c>
      <c r="B26" s="318"/>
      <c r="C26" s="2452">
        <v>28705.48</v>
      </c>
      <c r="D26" s="2452">
        <v>0</v>
      </c>
      <c r="E26" s="2453">
        <v>0</v>
      </c>
      <c r="F26" s="2454">
        <v>0</v>
      </c>
      <c r="G26" s="2452">
        <v>0</v>
      </c>
      <c r="H26" s="2455">
        <v>0</v>
      </c>
      <c r="I26" s="2456">
        <v>0</v>
      </c>
      <c r="J26" s="2452">
        <v>0</v>
      </c>
      <c r="K26" s="2453">
        <v>0</v>
      </c>
      <c r="L26" s="338"/>
    </row>
    <row r="27" spans="1:12" ht="11.25" customHeight="1" x14ac:dyDescent="0.25">
      <c r="A27" s="2514" t="s">
        <v>2460</v>
      </c>
      <c r="B27" s="318"/>
      <c r="C27" s="2452">
        <v>450000</v>
      </c>
      <c r="D27" s="2452">
        <v>0</v>
      </c>
      <c r="E27" s="2453">
        <v>0</v>
      </c>
      <c r="F27" s="2454">
        <v>0</v>
      </c>
      <c r="G27" s="2452">
        <v>0</v>
      </c>
      <c r="H27" s="2455">
        <v>0</v>
      </c>
      <c r="I27" s="2456">
        <v>0</v>
      </c>
      <c r="J27" s="2452">
        <v>0</v>
      </c>
      <c r="K27" s="2453">
        <v>0</v>
      </c>
      <c r="L27" s="338"/>
    </row>
    <row r="28" spans="1:12" ht="11.25" customHeight="1" x14ac:dyDescent="0.25">
      <c r="A28" s="2514" t="s">
        <v>2465</v>
      </c>
      <c r="B28" s="318"/>
      <c r="C28" s="2452">
        <v>792849.21</v>
      </c>
      <c r="D28" s="2452">
        <v>110621.12</v>
      </c>
      <c r="E28" s="2453">
        <v>0</v>
      </c>
      <c r="F28" s="2454">
        <v>0</v>
      </c>
      <c r="G28" s="2452">
        <v>0</v>
      </c>
      <c r="H28" s="2455">
        <v>0</v>
      </c>
      <c r="I28" s="2456">
        <v>0</v>
      </c>
      <c r="J28" s="2452">
        <v>0</v>
      </c>
      <c r="K28" s="2453">
        <v>0</v>
      </c>
      <c r="L28" s="338"/>
    </row>
    <row r="29" spans="1:12" ht="11.25" customHeight="1" x14ac:dyDescent="0.25">
      <c r="A29" s="2514" t="s">
        <v>2467</v>
      </c>
      <c r="B29" s="318"/>
      <c r="C29" s="2452">
        <v>500000</v>
      </c>
      <c r="D29" s="2452">
        <v>0</v>
      </c>
      <c r="E29" s="2453">
        <v>0</v>
      </c>
      <c r="F29" s="2454">
        <v>0</v>
      </c>
      <c r="G29" s="2452">
        <v>0</v>
      </c>
      <c r="H29" s="2455">
        <v>0</v>
      </c>
      <c r="I29" s="2456">
        <v>0</v>
      </c>
      <c r="J29" s="2452">
        <v>0</v>
      </c>
      <c r="K29" s="2453">
        <v>0</v>
      </c>
      <c r="L29" s="338"/>
    </row>
    <row r="30" spans="1:12" ht="11.25" customHeight="1" x14ac:dyDescent="0.25">
      <c r="A30" s="2514" t="s">
        <v>2468</v>
      </c>
      <c r="B30" s="318"/>
      <c r="C30" s="2452">
        <v>37251.89</v>
      </c>
      <c r="D30" s="2452">
        <v>0</v>
      </c>
      <c r="E30" s="2453">
        <v>0</v>
      </c>
      <c r="F30" s="2454">
        <v>0</v>
      </c>
      <c r="G30" s="2452">
        <v>0</v>
      </c>
      <c r="H30" s="2455">
        <v>0</v>
      </c>
      <c r="I30" s="2456">
        <v>0</v>
      </c>
      <c r="J30" s="2452">
        <v>0</v>
      </c>
      <c r="K30" s="2453">
        <v>0</v>
      </c>
      <c r="L30" s="338"/>
    </row>
    <row r="31" spans="1:12" ht="11.25" customHeight="1" x14ac:dyDescent="0.25">
      <c r="A31" s="2514" t="s">
        <v>2469</v>
      </c>
      <c r="B31" s="318"/>
      <c r="C31" s="2452">
        <v>988.38</v>
      </c>
      <c r="D31" s="2452">
        <v>0</v>
      </c>
      <c r="E31" s="2453">
        <v>0</v>
      </c>
      <c r="F31" s="2454">
        <v>0</v>
      </c>
      <c r="G31" s="2452">
        <v>0</v>
      </c>
      <c r="H31" s="2455">
        <v>0</v>
      </c>
      <c r="I31" s="2456">
        <v>0</v>
      </c>
      <c r="J31" s="2452">
        <v>0</v>
      </c>
      <c r="K31" s="2453">
        <v>0</v>
      </c>
      <c r="L31" s="338"/>
    </row>
    <row r="32" spans="1:12" ht="11.25" customHeight="1" x14ac:dyDescent="0.25">
      <c r="A32" s="2514" t="s">
        <v>2471</v>
      </c>
      <c r="B32" s="318"/>
      <c r="C32" s="2452">
        <v>14776.52</v>
      </c>
      <c r="D32" s="2452">
        <v>0</v>
      </c>
      <c r="E32" s="2453">
        <v>0</v>
      </c>
      <c r="F32" s="2454">
        <v>0</v>
      </c>
      <c r="G32" s="2452">
        <v>0</v>
      </c>
      <c r="H32" s="2455">
        <v>0</v>
      </c>
      <c r="I32" s="2456">
        <v>0</v>
      </c>
      <c r="J32" s="2452">
        <v>0</v>
      </c>
      <c r="K32" s="2453">
        <v>0</v>
      </c>
      <c r="L32" s="338"/>
    </row>
    <row r="33" spans="1:15" ht="11.25" customHeight="1" x14ac:dyDescent="0.25">
      <c r="A33" s="2514" t="s">
        <v>2473</v>
      </c>
      <c r="B33" s="318"/>
      <c r="C33" s="2452">
        <v>0</v>
      </c>
      <c r="D33" s="2452">
        <v>0</v>
      </c>
      <c r="E33" s="2453">
        <v>223370</v>
      </c>
      <c r="F33" s="2454">
        <v>0</v>
      </c>
      <c r="G33" s="2452">
        <v>0</v>
      </c>
      <c r="H33" s="2455">
        <v>0</v>
      </c>
      <c r="I33" s="2456">
        <v>0</v>
      </c>
      <c r="J33" s="2452">
        <v>0</v>
      </c>
      <c r="K33" s="2453">
        <v>0</v>
      </c>
      <c r="L33" s="338"/>
    </row>
    <row r="34" spans="1:15" ht="11.25" customHeight="1" x14ac:dyDescent="0.25">
      <c r="A34" s="2514" t="s">
        <v>2464</v>
      </c>
      <c r="B34" s="318"/>
      <c r="C34" s="2509">
        <v>0</v>
      </c>
      <c r="D34" s="2509">
        <v>38155.800000000003</v>
      </c>
      <c r="E34" s="2510">
        <v>0</v>
      </c>
      <c r="F34" s="2511">
        <v>0</v>
      </c>
      <c r="G34" s="2509">
        <v>0</v>
      </c>
      <c r="H34" s="2512">
        <v>0</v>
      </c>
      <c r="I34" s="2513">
        <v>0</v>
      </c>
      <c r="J34" s="2509">
        <v>0</v>
      </c>
      <c r="K34" s="2510">
        <v>0</v>
      </c>
      <c r="L34" s="338"/>
    </row>
    <row r="35" spans="1:15" s="635" customFormat="1" ht="15.75" customHeight="1" x14ac:dyDescent="0.2">
      <c r="A35" s="2515" t="s">
        <v>359</v>
      </c>
      <c r="B35" s="2516"/>
      <c r="C35" s="2517">
        <v>29097540.560000002</v>
      </c>
      <c r="D35" s="2517">
        <v>13251633.570599999</v>
      </c>
      <c r="E35" s="2518">
        <v>16301899</v>
      </c>
      <c r="F35" s="2519">
        <v>17909000</v>
      </c>
      <c r="G35" s="2517">
        <v>18623000</v>
      </c>
      <c r="H35" s="2520">
        <v>18623000</v>
      </c>
      <c r="I35" s="2521">
        <v>20785000</v>
      </c>
      <c r="J35" s="2517">
        <v>22636800</v>
      </c>
      <c r="K35" s="2518">
        <v>24289408</v>
      </c>
      <c r="L35" s="704"/>
    </row>
    <row r="36" spans="1:15" ht="5.0999999999999996" customHeight="1" x14ac:dyDescent="0.25">
      <c r="A36" s="658"/>
      <c r="B36" s="318"/>
      <c r="C36" s="2462"/>
      <c r="D36" s="2462"/>
      <c r="E36" s="633"/>
      <c r="F36" s="2449"/>
      <c r="G36" s="2462"/>
      <c r="H36" s="2450"/>
      <c r="I36" s="2463"/>
      <c r="J36" s="2462"/>
      <c r="K36" s="633"/>
      <c r="L36" s="338"/>
    </row>
    <row r="37" spans="1:15" ht="11.25" customHeight="1" x14ac:dyDescent="0.25">
      <c r="A37" s="651" t="s">
        <v>360</v>
      </c>
      <c r="B37" s="318"/>
      <c r="C37" s="2462"/>
      <c r="D37" s="2462"/>
      <c r="E37" s="633"/>
      <c r="F37" s="2449"/>
      <c r="G37" s="2462"/>
      <c r="H37" s="2450"/>
      <c r="I37" s="2463"/>
      <c r="J37" s="2462"/>
      <c r="K37" s="633"/>
      <c r="L37" s="338"/>
    </row>
    <row r="38" spans="1:15" ht="18" customHeight="1" x14ac:dyDescent="0.25">
      <c r="A38" s="780" t="s">
        <v>1029</v>
      </c>
      <c r="B38" s="318"/>
      <c r="C38" s="640">
        <v>5920668.3900000006</v>
      </c>
      <c r="D38" s="640">
        <v>13065498.301800001</v>
      </c>
      <c r="E38" s="2493">
        <v>2123583</v>
      </c>
      <c r="F38" s="2494">
        <v>9488000</v>
      </c>
      <c r="G38" s="640">
        <v>9488000</v>
      </c>
      <c r="H38" s="2495">
        <v>9488000</v>
      </c>
      <c r="I38" s="2496">
        <v>11510000</v>
      </c>
      <c r="J38" s="640">
        <v>12141000</v>
      </c>
      <c r="K38" s="2493">
        <v>12843000</v>
      </c>
      <c r="L38" s="338"/>
    </row>
    <row r="39" spans="1:15" ht="11.25" customHeight="1" x14ac:dyDescent="0.25">
      <c r="A39" s="332" t="s">
        <v>1940</v>
      </c>
      <c r="B39" s="318"/>
      <c r="C39" s="2503">
        <v>3302796.84</v>
      </c>
      <c r="D39" s="2503">
        <v>11110168.2018</v>
      </c>
      <c r="E39" s="2504">
        <v>1298766</v>
      </c>
      <c r="F39" s="2505">
        <v>9488000</v>
      </c>
      <c r="G39" s="2503">
        <v>9488000</v>
      </c>
      <c r="H39" s="2506">
        <v>9488000</v>
      </c>
      <c r="I39" s="2507">
        <v>11510000</v>
      </c>
      <c r="J39" s="2503">
        <v>12141000</v>
      </c>
      <c r="K39" s="2504">
        <v>12843000</v>
      </c>
      <c r="L39" s="338"/>
    </row>
    <row r="40" spans="1:15" ht="11.25" customHeight="1" x14ac:dyDescent="0.25">
      <c r="A40" s="332" t="s">
        <v>2463</v>
      </c>
      <c r="B40" s="318"/>
      <c r="C40" s="2452">
        <v>360224</v>
      </c>
      <c r="D40" s="2452">
        <v>0</v>
      </c>
      <c r="E40" s="2453">
        <v>0</v>
      </c>
      <c r="F40" s="2454">
        <v>0</v>
      </c>
      <c r="G40" s="2452">
        <v>0</v>
      </c>
      <c r="H40" s="2455">
        <v>0</v>
      </c>
      <c r="I40" s="2456">
        <v>0</v>
      </c>
      <c r="J40" s="2452">
        <v>0</v>
      </c>
      <c r="K40" s="2453">
        <v>0</v>
      </c>
      <c r="L40" s="338"/>
    </row>
    <row r="41" spans="1:15" ht="11.25" customHeight="1" x14ac:dyDescent="0.25">
      <c r="A41" s="332" t="s">
        <v>2457</v>
      </c>
      <c r="B41" s="318"/>
      <c r="C41" s="2452">
        <v>0</v>
      </c>
      <c r="D41" s="2452">
        <v>129437.88</v>
      </c>
      <c r="E41" s="2453">
        <v>14000</v>
      </c>
      <c r="F41" s="2454">
        <v>0</v>
      </c>
      <c r="G41" s="2452">
        <v>0</v>
      </c>
      <c r="H41" s="2455">
        <v>0</v>
      </c>
      <c r="I41" s="2456">
        <v>0</v>
      </c>
      <c r="J41" s="2452">
        <v>0</v>
      </c>
      <c r="K41" s="2453">
        <v>0</v>
      </c>
      <c r="L41" s="338"/>
    </row>
    <row r="42" spans="1:15" ht="11.25" customHeight="1" x14ac:dyDescent="0.25">
      <c r="A42" s="332" t="s">
        <v>2458</v>
      </c>
      <c r="B42" s="318"/>
      <c r="C42" s="2452">
        <v>0</v>
      </c>
      <c r="D42" s="2452">
        <v>0</v>
      </c>
      <c r="E42" s="2453">
        <v>41597</v>
      </c>
      <c r="F42" s="2454">
        <v>0</v>
      </c>
      <c r="G42" s="2452">
        <v>0</v>
      </c>
      <c r="H42" s="2455">
        <v>0</v>
      </c>
      <c r="I42" s="2456">
        <v>0</v>
      </c>
      <c r="J42" s="2452">
        <v>0</v>
      </c>
      <c r="K42" s="2453">
        <v>0</v>
      </c>
      <c r="L42" s="338"/>
    </row>
    <row r="43" spans="1:15" ht="11.25" customHeight="1" x14ac:dyDescent="0.25">
      <c r="A43" s="2508" t="s">
        <v>2466</v>
      </c>
      <c r="B43" s="318"/>
      <c r="C43" s="2509">
        <v>2257647.5500000003</v>
      </c>
      <c r="D43" s="2509">
        <v>1825892.22</v>
      </c>
      <c r="E43" s="2510">
        <v>769220</v>
      </c>
      <c r="F43" s="2511">
        <v>0</v>
      </c>
      <c r="G43" s="2509">
        <v>0</v>
      </c>
      <c r="H43" s="2512">
        <v>0</v>
      </c>
      <c r="I43" s="2513">
        <v>0</v>
      </c>
      <c r="J43" s="2509">
        <v>0</v>
      </c>
      <c r="K43" s="2510">
        <v>0</v>
      </c>
      <c r="L43" s="338"/>
    </row>
    <row r="44" spans="1:15" ht="18" customHeight="1" x14ac:dyDescent="0.25">
      <c r="A44" s="2522" t="s">
        <v>1030</v>
      </c>
      <c r="B44" s="318"/>
      <c r="C44" s="640">
        <v>0</v>
      </c>
      <c r="D44" s="640">
        <v>0</v>
      </c>
      <c r="E44" s="2493">
        <v>1306690</v>
      </c>
      <c r="F44" s="2494">
        <v>0</v>
      </c>
      <c r="G44" s="640">
        <v>0</v>
      </c>
      <c r="H44" s="2495">
        <v>0</v>
      </c>
      <c r="I44" s="2496">
        <v>0</v>
      </c>
      <c r="J44" s="640">
        <v>0</v>
      </c>
      <c r="K44" s="2493">
        <v>0</v>
      </c>
      <c r="L44" s="338"/>
      <c r="O44" s="338"/>
    </row>
    <row r="45" spans="1:15" x14ac:dyDescent="0.25">
      <c r="A45" s="2533" t="s">
        <v>2296</v>
      </c>
      <c r="B45" s="318"/>
      <c r="C45" s="2503">
        <v>0</v>
      </c>
      <c r="D45" s="2503">
        <v>0</v>
      </c>
      <c r="E45" s="2504">
        <v>135097</v>
      </c>
      <c r="F45" s="2505">
        <v>0</v>
      </c>
      <c r="G45" s="2503">
        <v>0</v>
      </c>
      <c r="H45" s="2506">
        <v>0</v>
      </c>
      <c r="I45" s="2507">
        <v>0</v>
      </c>
      <c r="J45" s="2503">
        <v>0</v>
      </c>
      <c r="K45" s="2504">
        <v>0</v>
      </c>
      <c r="L45" s="338"/>
    </row>
    <row r="46" spans="1:15" x14ac:dyDescent="0.25">
      <c r="A46" s="2514" t="s">
        <v>2472</v>
      </c>
      <c r="B46" s="318"/>
      <c r="C46" s="2509">
        <v>0</v>
      </c>
      <c r="D46" s="2509">
        <v>0</v>
      </c>
      <c r="E46" s="2510">
        <v>1171593</v>
      </c>
      <c r="F46" s="2511">
        <v>0</v>
      </c>
      <c r="G46" s="2509">
        <v>0</v>
      </c>
      <c r="H46" s="2512">
        <v>0</v>
      </c>
      <c r="I46" s="2513">
        <v>0</v>
      </c>
      <c r="J46" s="2509">
        <v>0</v>
      </c>
      <c r="K46" s="2510">
        <v>0</v>
      </c>
      <c r="L46" s="338"/>
    </row>
    <row r="47" spans="1:15" ht="18" customHeight="1" x14ac:dyDescent="0.25">
      <c r="A47" s="780" t="s">
        <v>1066</v>
      </c>
      <c r="B47" s="318"/>
      <c r="C47" s="640">
        <v>0</v>
      </c>
      <c r="D47" s="640">
        <v>0</v>
      </c>
      <c r="E47" s="2493">
        <v>0</v>
      </c>
      <c r="F47" s="2494">
        <v>0</v>
      </c>
      <c r="G47" s="640">
        <v>0</v>
      </c>
      <c r="H47" s="2495">
        <v>0</v>
      </c>
      <c r="I47" s="2496">
        <v>0</v>
      </c>
      <c r="J47" s="640">
        <v>0</v>
      </c>
      <c r="K47" s="2493">
        <v>0</v>
      </c>
      <c r="L47" s="338"/>
    </row>
    <row r="48" spans="1:15" ht="11.25" customHeight="1" x14ac:dyDescent="0.25">
      <c r="A48" s="2514" t="s">
        <v>1097</v>
      </c>
      <c r="B48" s="318"/>
      <c r="C48" s="2503"/>
      <c r="D48" s="2503"/>
      <c r="E48" s="2504"/>
      <c r="F48" s="2505"/>
      <c r="G48" s="2503"/>
      <c r="H48" s="2506"/>
      <c r="I48" s="2507"/>
      <c r="J48" s="2503"/>
      <c r="K48" s="2504"/>
      <c r="L48" s="338"/>
    </row>
    <row r="49" spans="1:12" ht="11.25" customHeight="1" x14ac:dyDescent="0.25">
      <c r="A49" s="2514"/>
      <c r="B49" s="318"/>
      <c r="C49" s="2509"/>
      <c r="D49" s="2509"/>
      <c r="E49" s="2510"/>
      <c r="F49" s="2511"/>
      <c r="G49" s="2509"/>
      <c r="H49" s="2512"/>
      <c r="I49" s="2513"/>
      <c r="J49" s="2509"/>
      <c r="K49" s="2510"/>
      <c r="L49" s="338"/>
    </row>
    <row r="50" spans="1:12" ht="18" customHeight="1" x14ac:dyDescent="0.25">
      <c r="A50" s="780" t="s">
        <v>590</v>
      </c>
      <c r="B50" s="318"/>
      <c r="C50" s="640">
        <v>672566.63</v>
      </c>
      <c r="D50" s="640">
        <v>0</v>
      </c>
      <c r="E50" s="2493">
        <v>0</v>
      </c>
      <c r="F50" s="2494">
        <v>0</v>
      </c>
      <c r="G50" s="640">
        <v>0</v>
      </c>
      <c r="H50" s="2495">
        <v>0</v>
      </c>
      <c r="I50" s="2496">
        <v>0</v>
      </c>
      <c r="J50" s="640">
        <v>0</v>
      </c>
      <c r="K50" s="2493">
        <v>0</v>
      </c>
      <c r="L50" s="338"/>
    </row>
    <row r="51" spans="1:12" ht="11.25" customHeight="1" x14ac:dyDescent="0.25">
      <c r="A51" s="2514" t="s">
        <v>2464</v>
      </c>
      <c r="B51" s="318"/>
      <c r="C51" s="2503">
        <v>513609.69</v>
      </c>
      <c r="D51" s="2503">
        <v>0</v>
      </c>
      <c r="E51" s="2504">
        <v>0</v>
      </c>
      <c r="F51" s="2505">
        <v>0</v>
      </c>
      <c r="G51" s="2503">
        <v>0</v>
      </c>
      <c r="H51" s="2506">
        <v>0</v>
      </c>
      <c r="I51" s="2507">
        <v>0</v>
      </c>
      <c r="J51" s="2503">
        <v>0</v>
      </c>
      <c r="K51" s="2504">
        <v>0</v>
      </c>
      <c r="L51" s="338"/>
    </row>
    <row r="52" spans="1:12" ht="11.25" customHeight="1" x14ac:dyDescent="0.25">
      <c r="A52" s="2514" t="s">
        <v>2470</v>
      </c>
      <c r="B52" s="318"/>
      <c r="C52" s="2452">
        <v>158956.94</v>
      </c>
      <c r="D52" s="2452">
        <v>0</v>
      </c>
      <c r="E52" s="2453">
        <v>0</v>
      </c>
      <c r="F52" s="2454">
        <v>0</v>
      </c>
      <c r="G52" s="2452">
        <v>0</v>
      </c>
      <c r="H52" s="2455">
        <v>0</v>
      </c>
      <c r="I52" s="2456">
        <v>0</v>
      </c>
      <c r="J52" s="2452">
        <v>0</v>
      </c>
      <c r="K52" s="2453">
        <v>0</v>
      </c>
      <c r="L52" s="338"/>
    </row>
    <row r="53" spans="1:12" ht="11.25" customHeight="1" x14ac:dyDescent="0.25">
      <c r="A53" s="2514"/>
      <c r="B53" s="318"/>
      <c r="C53" s="2452"/>
      <c r="D53" s="2452"/>
      <c r="E53" s="2453"/>
      <c r="F53" s="2454"/>
      <c r="G53" s="2452"/>
      <c r="H53" s="2455"/>
      <c r="I53" s="2456"/>
      <c r="J53" s="2452"/>
      <c r="K53" s="2453"/>
      <c r="L53" s="338"/>
    </row>
    <row r="54" spans="1:12" ht="11.25" customHeight="1" x14ac:dyDescent="0.25">
      <c r="A54" s="2514"/>
      <c r="B54" s="318"/>
      <c r="C54" s="2509"/>
      <c r="D54" s="2509"/>
      <c r="E54" s="2510"/>
      <c r="F54" s="2511"/>
      <c r="G54" s="2509"/>
      <c r="H54" s="2512"/>
      <c r="I54" s="2513"/>
      <c r="J54" s="2509"/>
      <c r="K54" s="2510"/>
      <c r="L54" s="338"/>
    </row>
    <row r="55" spans="1:12" ht="15.75" customHeight="1" x14ac:dyDescent="0.25">
      <c r="A55" s="2523" t="s">
        <v>361</v>
      </c>
      <c r="B55" s="2524"/>
      <c r="C55" s="640">
        <v>6593235.0200000005</v>
      </c>
      <c r="D55" s="640">
        <v>13065498.301800001</v>
      </c>
      <c r="E55" s="2493">
        <v>3430273</v>
      </c>
      <c r="F55" s="2494">
        <v>9488000</v>
      </c>
      <c r="G55" s="640">
        <v>9488000</v>
      </c>
      <c r="H55" s="2495">
        <v>9488000</v>
      </c>
      <c r="I55" s="2496">
        <v>11510000</v>
      </c>
      <c r="J55" s="640">
        <v>12141000</v>
      </c>
      <c r="K55" s="2493">
        <v>12843000</v>
      </c>
      <c r="L55" s="338"/>
    </row>
    <row r="56" spans="1:12" ht="3.75" customHeight="1" x14ac:dyDescent="0.25">
      <c r="A56" s="658"/>
      <c r="B56" s="318"/>
      <c r="C56" s="2462"/>
      <c r="D56" s="2462"/>
      <c r="E56" s="633"/>
      <c r="F56" s="2449"/>
      <c r="G56" s="2462"/>
      <c r="H56" s="2450"/>
      <c r="I56" s="2463"/>
      <c r="J56" s="2462"/>
      <c r="K56" s="633"/>
      <c r="L56" s="338"/>
    </row>
    <row r="57" spans="1:12" s="635" customFormat="1" ht="16.5" customHeight="1" x14ac:dyDescent="0.25">
      <c r="A57" s="2534" t="s">
        <v>567</v>
      </c>
      <c r="B57" s="2535"/>
      <c r="C57" s="2527">
        <v>35690775.580000006</v>
      </c>
      <c r="D57" s="2527">
        <v>26317131.872400001</v>
      </c>
      <c r="E57" s="2528">
        <v>19732172</v>
      </c>
      <c r="F57" s="2529">
        <v>27397000</v>
      </c>
      <c r="G57" s="2527">
        <v>28111000</v>
      </c>
      <c r="H57" s="2530">
        <v>28111000</v>
      </c>
      <c r="I57" s="2531">
        <v>32295000</v>
      </c>
      <c r="J57" s="2527">
        <v>34777800</v>
      </c>
      <c r="K57" s="2528">
        <v>37132408</v>
      </c>
      <c r="L57" s="704"/>
    </row>
    <row r="58" spans="1:12" s="625" customFormat="1" ht="11.25" customHeight="1" x14ac:dyDescent="0.25">
      <c r="A58" s="2223" t="s">
        <v>986</v>
      </c>
      <c r="B58" s="1974"/>
      <c r="C58" s="873"/>
      <c r="D58" s="873"/>
      <c r="E58" s="873"/>
      <c r="F58" s="873"/>
      <c r="G58" s="873"/>
      <c r="H58" s="873"/>
      <c r="I58" s="873"/>
      <c r="J58" s="873"/>
      <c r="K58" s="873"/>
      <c r="L58" s="873"/>
    </row>
    <row r="59" spans="1:12" s="625" customFormat="1" ht="11.25" customHeight="1" x14ac:dyDescent="0.25">
      <c r="A59" s="931" t="s">
        <v>1410</v>
      </c>
      <c r="B59" s="1974"/>
      <c r="C59" s="873"/>
      <c r="D59" s="873"/>
      <c r="E59" s="873"/>
      <c r="F59" s="873"/>
      <c r="G59" s="873"/>
      <c r="H59" s="873"/>
      <c r="I59" s="873"/>
      <c r="J59" s="873"/>
      <c r="K59" s="873"/>
      <c r="L59" s="873"/>
    </row>
    <row r="60" spans="1:12" ht="11.25" customHeight="1" x14ac:dyDescent="0.25">
      <c r="L60" s="338"/>
    </row>
    <row r="61" spans="1:12" ht="11.25" customHeight="1" x14ac:dyDescent="0.25">
      <c r="C61" s="1916">
        <v>-3.7999972701072693E-3</v>
      </c>
      <c r="D61" s="1916">
        <v>-0.1116000022739172</v>
      </c>
      <c r="E61" s="1916">
        <v>1.1300000008195639</v>
      </c>
      <c r="F61" s="1916">
        <v>-152000</v>
      </c>
      <c r="G61" s="1916">
        <v>0</v>
      </c>
      <c r="H61" s="1916">
        <v>0</v>
      </c>
      <c r="I61" s="1916">
        <v>0</v>
      </c>
      <c r="J61" s="1916">
        <v>0</v>
      </c>
      <c r="K61" s="1916">
        <v>0</v>
      </c>
      <c r="L61" s="338"/>
    </row>
    <row r="62" spans="1:12" ht="11.25" customHeight="1" x14ac:dyDescent="0.25">
      <c r="C62" s="1916">
        <v>0</v>
      </c>
      <c r="D62" s="1916">
        <v>0</v>
      </c>
      <c r="E62" s="1916">
        <v>0</v>
      </c>
      <c r="F62" s="1916">
        <v>0</v>
      </c>
      <c r="G62" s="1916">
        <v>0</v>
      </c>
      <c r="H62" s="1916">
        <v>0</v>
      </c>
      <c r="I62" s="1916">
        <v>0</v>
      </c>
      <c r="J62" s="1916">
        <v>0</v>
      </c>
      <c r="K62" s="1916">
        <v>0</v>
      </c>
      <c r="L62" s="338"/>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sheetData>
  <mergeCells count="2">
    <mergeCell ref="F2:H2"/>
    <mergeCell ref="I2:K2"/>
  </mergeCells>
  <phoneticPr fontId="4" type="noConversion"/>
  <pageMargins left="0.75" right="0.75" top="1" bottom="1" header="0.5" footer="0.5"/>
  <pageSetup scale="7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92D050"/>
  </sheetPr>
  <dimension ref="A1:AC308"/>
  <sheetViews>
    <sheetView workbookViewId="0">
      <pane xSplit="1" ySplit="1" topLeftCell="P2" activePane="bottomRight" state="frozen"/>
      <selection pane="topRight"/>
      <selection pane="bottomLeft"/>
      <selection pane="bottomRight" activeCell="D285" sqref="D285"/>
    </sheetView>
  </sheetViews>
  <sheetFormatPr defaultRowHeight="11.25" x14ac:dyDescent="0.2"/>
  <cols>
    <col min="1" max="1" width="28.85546875" style="2" bestFit="1" customWidth="1"/>
    <col min="2" max="2" width="29.5703125" style="2" customWidth="1"/>
    <col min="3" max="3" width="29.42578125" style="2" customWidth="1"/>
    <col min="4" max="4" width="41.85546875" style="2" bestFit="1" customWidth="1"/>
    <col min="5" max="14" width="41.85546875" style="2" customWidth="1"/>
    <col min="15" max="15" width="43.5703125" style="2" bestFit="1" customWidth="1"/>
    <col min="16" max="16" width="1.28515625" style="2" customWidth="1"/>
    <col min="17" max="17" width="5" style="2" bestFit="1" customWidth="1"/>
    <col min="18" max="18" width="2.7109375" style="2" bestFit="1" customWidth="1"/>
    <col min="19" max="19" width="4.140625" style="2" bestFit="1" customWidth="1"/>
    <col min="20" max="20" width="9.7109375" style="2" bestFit="1" customWidth="1"/>
    <col min="21" max="21" width="9.5703125" style="2" bestFit="1" customWidth="1"/>
    <col min="22" max="22" width="3.85546875" style="2" bestFit="1" customWidth="1"/>
    <col min="23" max="23" width="6.7109375" style="2" bestFit="1" customWidth="1"/>
    <col min="24" max="24" width="4.28515625" style="2" bestFit="1" customWidth="1"/>
    <col min="25" max="25" width="9.140625" style="2"/>
    <col min="26" max="26" width="31.7109375" style="2" customWidth="1"/>
    <col min="27" max="27" width="26.7109375" style="2" customWidth="1"/>
    <col min="28" max="28" width="31.7109375" style="2" customWidth="1"/>
    <col min="29" max="29" width="23.140625" style="2" customWidth="1"/>
    <col min="30" max="16384" width="9.140625" style="2"/>
  </cols>
  <sheetData>
    <row r="1" spans="1:29" s="3" customFormat="1" x14ac:dyDescent="0.2">
      <c r="A1" s="808" t="s">
        <v>775</v>
      </c>
      <c r="B1" s="809">
        <v>2007</v>
      </c>
      <c r="C1" s="809">
        <v>2008</v>
      </c>
      <c r="D1" s="809">
        <v>2009</v>
      </c>
      <c r="E1" s="830">
        <v>2010</v>
      </c>
      <c r="F1" s="830">
        <v>2011</v>
      </c>
      <c r="G1" s="809">
        <v>2012</v>
      </c>
      <c r="H1" s="830">
        <v>2013</v>
      </c>
      <c r="I1" s="830">
        <v>2014</v>
      </c>
      <c r="J1" s="830">
        <v>2015</v>
      </c>
      <c r="K1" s="830">
        <v>2016</v>
      </c>
      <c r="L1" s="830">
        <v>2017</v>
      </c>
      <c r="M1" s="830">
        <v>2018</v>
      </c>
      <c r="N1" s="830">
        <v>2019</v>
      </c>
      <c r="O1" s="830">
        <v>2020</v>
      </c>
      <c r="P1" s="831"/>
      <c r="Q1" s="834" t="s">
        <v>157</v>
      </c>
      <c r="R1" s="835"/>
      <c r="S1" s="835"/>
      <c r="T1" s="835"/>
      <c r="U1" s="835"/>
      <c r="V1" s="835"/>
      <c r="W1" s="835"/>
      <c r="X1" s="835"/>
      <c r="Y1" s="940" t="s">
        <v>1597</v>
      </c>
      <c r="Z1" s="940" t="s">
        <v>1598</v>
      </c>
      <c r="AA1" s="940" t="s">
        <v>1600</v>
      </c>
      <c r="AB1" s="940" t="s">
        <v>1599</v>
      </c>
      <c r="AC1" s="940" t="s">
        <v>1243</v>
      </c>
    </row>
    <row r="2" spans="1:29" x14ac:dyDescent="0.2">
      <c r="A2" s="10" t="str">
        <f>'Template names'!C2</f>
        <v>Prior year -1</v>
      </c>
      <c r="B2" s="6" t="s">
        <v>1062</v>
      </c>
      <c r="C2" s="6" t="s">
        <v>1294</v>
      </c>
      <c r="D2" s="6" t="s">
        <v>1110</v>
      </c>
      <c r="E2" s="13" t="str">
        <f t="shared" ref="E2:O2" si="0">E1-2&amp;"/"&amp;RIGHT(E1,2)-1</f>
        <v>2008/9</v>
      </c>
      <c r="F2" s="13" t="str">
        <f t="shared" si="0"/>
        <v>2009/10</v>
      </c>
      <c r="G2" s="13" t="str">
        <f t="shared" si="0"/>
        <v>2010/11</v>
      </c>
      <c r="H2" s="13" t="str">
        <f t="shared" si="0"/>
        <v>2011/12</v>
      </c>
      <c r="I2" s="13" t="str">
        <f t="shared" si="0"/>
        <v>2012/13</v>
      </c>
      <c r="J2" s="13" t="str">
        <f t="shared" si="0"/>
        <v>2013/14</v>
      </c>
      <c r="K2" s="13" t="str">
        <f t="shared" si="0"/>
        <v>2014/15</v>
      </c>
      <c r="L2" s="13" t="str">
        <f t="shared" si="0"/>
        <v>2015/16</v>
      </c>
      <c r="M2" s="13" t="str">
        <f t="shared" si="0"/>
        <v>2016/17</v>
      </c>
      <c r="N2" s="13" t="str">
        <f t="shared" si="0"/>
        <v>2017/18</v>
      </c>
      <c r="O2" s="13" t="str">
        <f t="shared" si="0"/>
        <v>2018/19</v>
      </c>
      <c r="P2" s="6"/>
      <c r="Q2" s="24" t="s">
        <v>428</v>
      </c>
      <c r="R2" s="833" t="s">
        <v>158</v>
      </c>
      <c r="S2" s="833" t="s">
        <v>159</v>
      </c>
      <c r="T2" s="4" t="s">
        <v>161</v>
      </c>
      <c r="U2" s="13" t="s">
        <v>165</v>
      </c>
      <c r="V2" s="4" t="s">
        <v>428</v>
      </c>
      <c r="W2" s="21" t="s">
        <v>1094</v>
      </c>
      <c r="X2" s="21" t="s">
        <v>1695</v>
      </c>
      <c r="Z2" s="1" t="s">
        <v>1944</v>
      </c>
      <c r="AA2" s="1" t="s">
        <v>1945</v>
      </c>
      <c r="AB2" s="1" t="s">
        <v>1940</v>
      </c>
      <c r="AC2" s="1" t="s">
        <v>1933</v>
      </c>
    </row>
    <row r="3" spans="1:29" x14ac:dyDescent="0.2">
      <c r="A3" s="10" t="str">
        <f>'Template names'!C3</f>
        <v>Prior year -2</v>
      </c>
      <c r="B3" s="6" t="s">
        <v>1063</v>
      </c>
      <c r="C3" s="6" t="s">
        <v>1062</v>
      </c>
      <c r="D3" s="6" t="s">
        <v>1294</v>
      </c>
      <c r="E3" s="13" t="str">
        <f t="shared" ref="E3:O3" si="1">E1-3&amp;"/"&amp;RIGHT(E1,2)-2</f>
        <v>2007/8</v>
      </c>
      <c r="F3" s="13" t="str">
        <f t="shared" si="1"/>
        <v>2008/9</v>
      </c>
      <c r="G3" s="13" t="str">
        <f t="shared" si="1"/>
        <v>2009/10</v>
      </c>
      <c r="H3" s="13" t="str">
        <f t="shared" si="1"/>
        <v>2010/11</v>
      </c>
      <c r="I3" s="13" t="str">
        <f t="shared" si="1"/>
        <v>2011/12</v>
      </c>
      <c r="J3" s="13" t="str">
        <f t="shared" si="1"/>
        <v>2012/13</v>
      </c>
      <c r="K3" s="13" t="str">
        <f t="shared" si="1"/>
        <v>2013/14</v>
      </c>
      <c r="L3" s="13" t="str">
        <f t="shared" si="1"/>
        <v>2014/15</v>
      </c>
      <c r="M3" s="13" t="str">
        <f t="shared" si="1"/>
        <v>2015/16</v>
      </c>
      <c r="N3" s="13" t="str">
        <f t="shared" si="1"/>
        <v>2016/17</v>
      </c>
      <c r="O3" s="13" t="str">
        <f t="shared" si="1"/>
        <v>2017/18</v>
      </c>
      <c r="P3" s="6"/>
      <c r="Q3" s="24" t="s">
        <v>829</v>
      </c>
      <c r="R3" s="4">
        <v>1</v>
      </c>
      <c r="S3" s="4">
        <v>4</v>
      </c>
      <c r="T3" s="4" t="s">
        <v>162</v>
      </c>
      <c r="U3" s="13" t="s">
        <v>163</v>
      </c>
      <c r="V3" s="22" t="s">
        <v>829</v>
      </c>
      <c r="W3" s="22" t="s">
        <v>1692</v>
      </c>
      <c r="X3" s="22" t="s">
        <v>1696</v>
      </c>
      <c r="Z3" s="1" t="s">
        <v>1943</v>
      </c>
      <c r="AA3" s="1" t="s">
        <v>1946</v>
      </c>
      <c r="AB3" s="1" t="s">
        <v>1939</v>
      </c>
      <c r="AC3" s="1" t="s">
        <v>1934</v>
      </c>
    </row>
    <row r="4" spans="1:29" x14ac:dyDescent="0.2">
      <c r="A4" s="10" t="str">
        <f>'Template names'!C4</f>
        <v>Prior year -3</v>
      </c>
      <c r="B4" s="6" t="s">
        <v>1064</v>
      </c>
      <c r="C4" s="6" t="s">
        <v>1063</v>
      </c>
      <c r="D4" s="6" t="s">
        <v>1062</v>
      </c>
      <c r="E4" s="13" t="str">
        <f t="shared" ref="E4:O4" si="2">E1-4&amp;"/"&amp;RIGHT(E1,2)-3</f>
        <v>2006/7</v>
      </c>
      <c r="F4" s="13" t="str">
        <f t="shared" si="2"/>
        <v>2007/8</v>
      </c>
      <c r="G4" s="13" t="str">
        <f t="shared" si="2"/>
        <v>2008/9</v>
      </c>
      <c r="H4" s="13" t="str">
        <f t="shared" si="2"/>
        <v>2009/10</v>
      </c>
      <c r="I4" s="13" t="str">
        <f t="shared" si="2"/>
        <v>2010/11</v>
      </c>
      <c r="J4" s="13" t="str">
        <f t="shared" si="2"/>
        <v>2011/12</v>
      </c>
      <c r="K4" s="13" t="str">
        <f t="shared" si="2"/>
        <v>2012/13</v>
      </c>
      <c r="L4" s="13" t="str">
        <f t="shared" si="2"/>
        <v>2013/14</v>
      </c>
      <c r="M4" s="13" t="str">
        <f t="shared" si="2"/>
        <v>2014/15</v>
      </c>
      <c r="N4" s="13" t="str">
        <f t="shared" si="2"/>
        <v>2015/16</v>
      </c>
      <c r="O4" s="13" t="str">
        <f t="shared" si="2"/>
        <v>2016/17</v>
      </c>
      <c r="P4" s="6"/>
      <c r="Q4" s="25"/>
      <c r="R4" s="4">
        <v>2</v>
      </c>
      <c r="S4" s="4">
        <v>5</v>
      </c>
      <c r="T4" s="22" t="s">
        <v>293</v>
      </c>
      <c r="U4" s="14" t="s">
        <v>293</v>
      </c>
      <c r="V4" s="23"/>
      <c r="Z4" s="1" t="s">
        <v>1942</v>
      </c>
      <c r="AA4" s="1" t="s">
        <v>1722</v>
      </c>
      <c r="AB4" s="1" t="s">
        <v>1928</v>
      </c>
      <c r="AC4" s="1" t="s">
        <v>1802</v>
      </c>
    </row>
    <row r="5" spans="1:29" x14ac:dyDescent="0.2">
      <c r="A5" s="10" t="str">
        <f>'Template names'!C5</f>
        <v>Year in which budget is being prepared</v>
      </c>
      <c r="B5" s="6" t="s">
        <v>407</v>
      </c>
      <c r="C5" s="6" t="s">
        <v>1109</v>
      </c>
      <c r="D5" s="6" t="s">
        <v>1117</v>
      </c>
      <c r="E5" s="13" t="str">
        <f t="shared" ref="E5:O5" si="3">"Current Year "&amp; E1-1&amp;"/"&amp;RIGHT(E1,2)</f>
        <v>Current Year 2009/10</v>
      </c>
      <c r="F5" s="13" t="str">
        <f t="shared" si="3"/>
        <v>Current Year 2010/11</v>
      </c>
      <c r="G5" s="13" t="str">
        <f t="shared" si="3"/>
        <v>Current Year 2011/12</v>
      </c>
      <c r="H5" s="13" t="str">
        <f t="shared" si="3"/>
        <v>Current Year 2012/13</v>
      </c>
      <c r="I5" s="13" t="str">
        <f t="shared" si="3"/>
        <v>Current Year 2013/14</v>
      </c>
      <c r="J5" s="13" t="str">
        <f t="shared" si="3"/>
        <v>Current Year 2014/15</v>
      </c>
      <c r="K5" s="13" t="str">
        <f t="shared" si="3"/>
        <v>Current Year 2015/16</v>
      </c>
      <c r="L5" s="13" t="str">
        <f t="shared" si="3"/>
        <v>Current Year 2016/17</v>
      </c>
      <c r="M5" s="13" t="str">
        <f t="shared" si="3"/>
        <v>Current Year 2017/18</v>
      </c>
      <c r="N5" s="13" t="str">
        <f t="shared" si="3"/>
        <v>Current Year 2018/19</v>
      </c>
      <c r="O5" s="13" t="str">
        <f t="shared" si="3"/>
        <v>Current Year 2019/20</v>
      </c>
      <c r="P5" s="6"/>
      <c r="R5" s="4">
        <v>3</v>
      </c>
      <c r="S5" s="4">
        <v>6</v>
      </c>
      <c r="Z5" s="1" t="s">
        <v>1941</v>
      </c>
      <c r="AA5" s="1" t="s">
        <v>1938</v>
      </c>
      <c r="AB5" s="1" t="s">
        <v>1930</v>
      </c>
      <c r="AC5" s="1" t="s">
        <v>1935</v>
      </c>
    </row>
    <row r="6" spans="1:29" x14ac:dyDescent="0.2">
      <c r="A6" s="10" t="str">
        <f>'Template names'!C6</f>
        <v>Year in which budget is being prepared</v>
      </c>
      <c r="B6" s="6" t="s">
        <v>1294</v>
      </c>
      <c r="C6" s="6" t="s">
        <v>1110</v>
      </c>
      <c r="D6" s="6" t="s">
        <v>1118</v>
      </c>
      <c r="E6" s="13" t="str">
        <f t="shared" ref="E6:O6" si="4">E1-1&amp;"/"&amp;RIGHT(E1,2)</f>
        <v>2009/10</v>
      </c>
      <c r="F6" s="13" t="str">
        <f t="shared" si="4"/>
        <v>2010/11</v>
      </c>
      <c r="G6" s="13" t="str">
        <f t="shared" si="4"/>
        <v>2011/12</v>
      </c>
      <c r="H6" s="13" t="str">
        <f t="shared" si="4"/>
        <v>2012/13</v>
      </c>
      <c r="I6" s="13" t="str">
        <f t="shared" si="4"/>
        <v>2013/14</v>
      </c>
      <c r="J6" s="13" t="str">
        <f t="shared" si="4"/>
        <v>2014/15</v>
      </c>
      <c r="K6" s="13" t="str">
        <f t="shared" si="4"/>
        <v>2015/16</v>
      </c>
      <c r="L6" s="13" t="str">
        <f t="shared" si="4"/>
        <v>2016/17</v>
      </c>
      <c r="M6" s="13" t="str">
        <f t="shared" si="4"/>
        <v>2017/18</v>
      </c>
      <c r="N6" s="13" t="str">
        <f t="shared" si="4"/>
        <v>2018/19</v>
      </c>
      <c r="O6" s="13" t="str">
        <f t="shared" si="4"/>
        <v>2019/20</v>
      </c>
      <c r="P6" s="6"/>
      <c r="R6" s="4">
        <v>4</v>
      </c>
      <c r="S6" s="832" t="s">
        <v>1093</v>
      </c>
      <c r="Z6" s="2" t="s">
        <v>1921</v>
      </c>
      <c r="AB6" s="1" t="s">
        <v>1929</v>
      </c>
      <c r="AC6" s="1" t="s">
        <v>1936</v>
      </c>
    </row>
    <row r="7" spans="1:29" x14ac:dyDescent="0.2">
      <c r="A7" s="10" t="str">
        <f>'Template names'!C7</f>
        <v>MTREF name</v>
      </c>
      <c r="B7" s="6" t="s">
        <v>800</v>
      </c>
      <c r="C7" s="6" t="s">
        <v>801</v>
      </c>
      <c r="D7" s="6" t="s">
        <v>802</v>
      </c>
      <c r="E7" s="13" t="str">
        <f t="shared" ref="E7:O7" si="5">E1&amp;"/"&amp;RIGHT(E1,2)+1&amp;" Medium Term Revenue &amp; Expenditure Framework"</f>
        <v>2010/11 Medium Term Revenue &amp; Expenditure Framework</v>
      </c>
      <c r="F7" s="13" t="str">
        <f t="shared" si="5"/>
        <v>2011/12 Medium Term Revenue &amp; Expenditure Framework</v>
      </c>
      <c r="G7" s="13" t="str">
        <f t="shared" si="5"/>
        <v>2012/13 Medium Term Revenue &amp; Expenditure Framework</v>
      </c>
      <c r="H7" s="13" t="str">
        <f t="shared" si="5"/>
        <v>2013/14 Medium Term Revenue &amp; Expenditure Framework</v>
      </c>
      <c r="I7" s="13" t="str">
        <f t="shared" si="5"/>
        <v>2014/15 Medium Term Revenue &amp; Expenditure Framework</v>
      </c>
      <c r="J7" s="13" t="str">
        <f t="shared" si="5"/>
        <v>2015/16 Medium Term Revenue &amp; Expenditure Framework</v>
      </c>
      <c r="K7" s="13" t="str">
        <f t="shared" si="5"/>
        <v>2016/17 Medium Term Revenue &amp; Expenditure Framework</v>
      </c>
      <c r="L7" s="13" t="str">
        <f t="shared" si="5"/>
        <v>2017/18 Medium Term Revenue &amp; Expenditure Framework</v>
      </c>
      <c r="M7" s="13" t="str">
        <f t="shared" si="5"/>
        <v>2018/19 Medium Term Revenue &amp; Expenditure Framework</v>
      </c>
      <c r="N7" s="13" t="str">
        <f t="shared" si="5"/>
        <v>2019/20 Medium Term Revenue &amp; Expenditure Framework</v>
      </c>
      <c r="O7" s="13" t="str">
        <f t="shared" si="5"/>
        <v>2020/21 Medium Term Revenue &amp; Expenditure Framework</v>
      </c>
      <c r="P7" s="6"/>
      <c r="R7" s="4">
        <v>5</v>
      </c>
      <c r="S7" s="22" t="s">
        <v>160</v>
      </c>
      <c r="Z7" s="2" t="s">
        <v>1922</v>
      </c>
      <c r="AB7" s="1" t="s">
        <v>1926</v>
      </c>
      <c r="AC7" s="1" t="s">
        <v>1937</v>
      </c>
    </row>
    <row r="8" spans="1:29" x14ac:dyDescent="0.2">
      <c r="A8" s="10" t="str">
        <f>'Template names'!C15</f>
        <v>1st year of MTREF</v>
      </c>
      <c r="B8" s="6" t="s">
        <v>1633</v>
      </c>
      <c r="C8" s="6" t="s">
        <v>1111</v>
      </c>
      <c r="D8" s="6" t="s">
        <v>1119</v>
      </c>
      <c r="E8" s="13" t="str">
        <f t="shared" ref="E8:O8" si="6">"Budget Year "&amp;E1&amp;"/"&amp;RIGHT(E1,2)+1</f>
        <v>Budget Year 2010/11</v>
      </c>
      <c r="F8" s="13" t="str">
        <f t="shared" si="6"/>
        <v>Budget Year 2011/12</v>
      </c>
      <c r="G8" s="13" t="str">
        <f t="shared" si="6"/>
        <v>Budget Year 2012/13</v>
      </c>
      <c r="H8" s="13" t="str">
        <f t="shared" si="6"/>
        <v>Budget Year 2013/14</v>
      </c>
      <c r="I8" s="13" t="str">
        <f t="shared" si="6"/>
        <v>Budget Year 2014/15</v>
      </c>
      <c r="J8" s="13" t="str">
        <f t="shared" si="6"/>
        <v>Budget Year 2015/16</v>
      </c>
      <c r="K8" s="13" t="str">
        <f t="shared" si="6"/>
        <v>Budget Year 2016/17</v>
      </c>
      <c r="L8" s="13" t="str">
        <f t="shared" si="6"/>
        <v>Budget Year 2017/18</v>
      </c>
      <c r="M8" s="13" t="str">
        <f t="shared" si="6"/>
        <v>Budget Year 2018/19</v>
      </c>
      <c r="N8" s="13" t="str">
        <f t="shared" si="6"/>
        <v>Budget Year 2019/20</v>
      </c>
      <c r="O8" s="13" t="str">
        <f t="shared" si="6"/>
        <v>Budget Year 2020/21</v>
      </c>
      <c r="P8" s="6"/>
      <c r="R8" s="22" t="s">
        <v>1092</v>
      </c>
      <c r="Z8" s="2" t="s">
        <v>1923</v>
      </c>
      <c r="AB8" s="1" t="s">
        <v>1927</v>
      </c>
      <c r="AC8" s="1" t="s">
        <v>1938</v>
      </c>
    </row>
    <row r="9" spans="1:29" x14ac:dyDescent="0.2">
      <c r="A9" s="10" t="str">
        <f>'Template names'!C16</f>
        <v>2nd year of MTREF</v>
      </c>
      <c r="B9" s="6" t="s">
        <v>1634</v>
      </c>
      <c r="C9" s="6" t="s">
        <v>1112</v>
      </c>
      <c r="D9" s="6" t="s">
        <v>1376</v>
      </c>
      <c r="E9" s="13" t="str">
        <f t="shared" ref="E9:O9" si="7">"Budget Year +1 "&amp;E1+1&amp;"/"&amp;RIGHT(E1,2)+2</f>
        <v>Budget Year +1 2011/12</v>
      </c>
      <c r="F9" s="13" t="str">
        <f t="shared" si="7"/>
        <v>Budget Year +1 2012/13</v>
      </c>
      <c r="G9" s="13" t="str">
        <f t="shared" si="7"/>
        <v>Budget Year +1 2013/14</v>
      </c>
      <c r="H9" s="13" t="str">
        <f t="shared" si="7"/>
        <v>Budget Year +1 2014/15</v>
      </c>
      <c r="I9" s="13" t="str">
        <f t="shared" si="7"/>
        <v>Budget Year +1 2015/16</v>
      </c>
      <c r="J9" s="13" t="str">
        <f t="shared" si="7"/>
        <v>Budget Year +1 2016/17</v>
      </c>
      <c r="K9" s="13" t="str">
        <f t="shared" si="7"/>
        <v>Budget Year +1 2017/18</v>
      </c>
      <c r="L9" s="13" t="str">
        <f t="shared" si="7"/>
        <v>Budget Year +1 2018/19</v>
      </c>
      <c r="M9" s="13" t="str">
        <f t="shared" si="7"/>
        <v>Budget Year +1 2019/20</v>
      </c>
      <c r="N9" s="13" t="str">
        <f t="shared" si="7"/>
        <v>Budget Year +1 2020/21</v>
      </c>
      <c r="O9" s="13" t="str">
        <f t="shared" si="7"/>
        <v>Budget Year +1 2021/22</v>
      </c>
      <c r="P9" s="6"/>
      <c r="Z9" s="1" t="s">
        <v>1924</v>
      </c>
    </row>
    <row r="10" spans="1:29" x14ac:dyDescent="0.2">
      <c r="A10" s="10" t="str">
        <f>'Template names'!C17</f>
        <v>3rd year of MTREF</v>
      </c>
      <c r="B10" s="6" t="s">
        <v>1635</v>
      </c>
      <c r="C10" s="6" t="s">
        <v>1113</v>
      </c>
      <c r="D10" s="6" t="s">
        <v>1377</v>
      </c>
      <c r="E10" s="13" t="str">
        <f t="shared" ref="E10:O10" si="8">"Budget Year +2 "&amp;E1+2&amp;"/"&amp;RIGHT(E1,2)+3</f>
        <v>Budget Year +2 2012/13</v>
      </c>
      <c r="F10" s="13" t="str">
        <f t="shared" si="8"/>
        <v>Budget Year +2 2013/14</v>
      </c>
      <c r="G10" s="13" t="str">
        <f t="shared" si="8"/>
        <v>Budget Year +2 2014/15</v>
      </c>
      <c r="H10" s="13" t="str">
        <f t="shared" si="8"/>
        <v>Budget Year +2 2015/16</v>
      </c>
      <c r="I10" s="13" t="str">
        <f t="shared" si="8"/>
        <v>Budget Year +2 2016/17</v>
      </c>
      <c r="J10" s="13" t="str">
        <f t="shared" si="8"/>
        <v>Budget Year +2 2017/18</v>
      </c>
      <c r="K10" s="13" t="str">
        <f t="shared" si="8"/>
        <v>Budget Year +2 2018/19</v>
      </c>
      <c r="L10" s="13" t="str">
        <f t="shared" si="8"/>
        <v>Budget Year +2 2019/20</v>
      </c>
      <c r="M10" s="13" t="str">
        <f t="shared" si="8"/>
        <v>Budget Year +2 2020/21</v>
      </c>
      <c r="N10" s="13" t="str">
        <f t="shared" si="8"/>
        <v>Budget Year +2 2021/22</v>
      </c>
      <c r="O10" s="13" t="str">
        <f t="shared" si="8"/>
        <v>Budget Year +2 2022/23</v>
      </c>
      <c r="P10" s="6"/>
      <c r="Z10" s="1" t="s">
        <v>1925</v>
      </c>
    </row>
    <row r="11" spans="1:29" x14ac:dyDescent="0.2">
      <c r="A11" s="10" t="str">
        <f>'Template names'!C18</f>
        <v>1st yr of long term forecast</v>
      </c>
      <c r="B11" s="6" t="s">
        <v>1718</v>
      </c>
      <c r="C11" s="6" t="s">
        <v>1719</v>
      </c>
      <c r="D11" s="6" t="s">
        <v>1720</v>
      </c>
      <c r="E11" s="13" t="str">
        <f t="shared" ref="E11:O11" si="9">"Forecast "&amp;E1+3&amp;"/"&amp;RIGHT(E1,2)+4</f>
        <v>Forecast 2013/14</v>
      </c>
      <c r="F11" s="13" t="str">
        <f t="shared" si="9"/>
        <v>Forecast 2014/15</v>
      </c>
      <c r="G11" s="13" t="str">
        <f t="shared" si="9"/>
        <v>Forecast 2015/16</v>
      </c>
      <c r="H11" s="13" t="str">
        <f t="shared" si="9"/>
        <v>Forecast 2016/17</v>
      </c>
      <c r="I11" s="13" t="str">
        <f t="shared" si="9"/>
        <v>Forecast 2017/18</v>
      </c>
      <c r="J11" s="13" t="str">
        <f t="shared" si="9"/>
        <v>Forecast 2018/19</v>
      </c>
      <c r="K11" s="13" t="str">
        <f t="shared" si="9"/>
        <v>Forecast 2019/20</v>
      </c>
      <c r="L11" s="13" t="str">
        <f t="shared" si="9"/>
        <v>Forecast 2020/21</v>
      </c>
      <c r="M11" s="13" t="str">
        <f t="shared" si="9"/>
        <v>Forecast 2021/22</v>
      </c>
      <c r="N11" s="13" t="str">
        <f t="shared" si="9"/>
        <v>Forecast 2022/23</v>
      </c>
      <c r="O11" s="13" t="str">
        <f t="shared" si="9"/>
        <v>Forecast 2023/24</v>
      </c>
      <c r="P11" s="6"/>
      <c r="Z11" s="1" t="s">
        <v>1931</v>
      </c>
    </row>
    <row r="12" spans="1:29" x14ac:dyDescent="0.2">
      <c r="A12" s="10" t="str">
        <f>'Template names'!C19</f>
        <v>Next yr of long term forecast</v>
      </c>
      <c r="B12" s="6" t="s">
        <v>1719</v>
      </c>
      <c r="C12" s="6" t="s">
        <v>1720</v>
      </c>
      <c r="D12" s="6" t="s">
        <v>1721</v>
      </c>
      <c r="E12" s="13" t="str">
        <f t="shared" ref="E12:O12" si="10">"Forecast "&amp;E1+4&amp;"/"&amp;RIGHT(E1,2)+5</f>
        <v>Forecast 2014/15</v>
      </c>
      <c r="F12" s="13" t="str">
        <f t="shared" si="10"/>
        <v>Forecast 2015/16</v>
      </c>
      <c r="G12" s="13" t="str">
        <f t="shared" si="10"/>
        <v>Forecast 2016/17</v>
      </c>
      <c r="H12" s="13" t="str">
        <f t="shared" si="10"/>
        <v>Forecast 2017/18</v>
      </c>
      <c r="I12" s="13" t="str">
        <f t="shared" si="10"/>
        <v>Forecast 2018/19</v>
      </c>
      <c r="J12" s="13" t="str">
        <f t="shared" si="10"/>
        <v>Forecast 2019/20</v>
      </c>
      <c r="K12" s="13" t="str">
        <f t="shared" si="10"/>
        <v>Forecast 2020/21</v>
      </c>
      <c r="L12" s="13" t="str">
        <f t="shared" si="10"/>
        <v>Forecast 2021/22</v>
      </c>
      <c r="M12" s="13" t="str">
        <f t="shared" si="10"/>
        <v>Forecast 2022/23</v>
      </c>
      <c r="N12" s="13" t="str">
        <f t="shared" si="10"/>
        <v>Forecast 2023/24</v>
      </c>
      <c r="O12" s="13" t="str">
        <f t="shared" si="10"/>
        <v>Forecast 2024/25</v>
      </c>
      <c r="P12" s="6"/>
      <c r="Z12" s="1" t="s">
        <v>1932</v>
      </c>
    </row>
    <row r="13" spans="1:29" x14ac:dyDescent="0.2">
      <c r="A13" s="10" t="str">
        <f>'Template names'!C20</f>
        <v>Next yr of long term forecast</v>
      </c>
      <c r="B13" s="6" t="s">
        <v>1720</v>
      </c>
      <c r="C13" s="6" t="s">
        <v>1721</v>
      </c>
      <c r="D13" s="6" t="s">
        <v>919</v>
      </c>
      <c r="E13" s="13" t="str">
        <f t="shared" ref="E13:O13" si="11">"Forecast "&amp;E1+5&amp;"/"&amp;RIGHT(E1,2)+6</f>
        <v>Forecast 2015/16</v>
      </c>
      <c r="F13" s="13" t="str">
        <f t="shared" si="11"/>
        <v>Forecast 2016/17</v>
      </c>
      <c r="G13" s="13" t="str">
        <f t="shared" si="11"/>
        <v>Forecast 2017/18</v>
      </c>
      <c r="H13" s="13" t="str">
        <f t="shared" si="11"/>
        <v>Forecast 2018/19</v>
      </c>
      <c r="I13" s="13" t="str">
        <f t="shared" si="11"/>
        <v>Forecast 2019/20</v>
      </c>
      <c r="J13" s="13" t="str">
        <f t="shared" si="11"/>
        <v>Forecast 2020/21</v>
      </c>
      <c r="K13" s="13" t="str">
        <f t="shared" si="11"/>
        <v>Forecast 2021/22</v>
      </c>
      <c r="L13" s="13" t="str">
        <f t="shared" si="11"/>
        <v>Forecast 2022/23</v>
      </c>
      <c r="M13" s="13" t="str">
        <f t="shared" si="11"/>
        <v>Forecast 2023/24</v>
      </c>
      <c r="N13" s="13" t="str">
        <f t="shared" si="11"/>
        <v>Forecast 2024/25</v>
      </c>
      <c r="O13" s="13" t="str">
        <f t="shared" si="11"/>
        <v>Forecast 2025/26</v>
      </c>
      <c r="P13" s="6"/>
    </row>
    <row r="14" spans="1:29" x14ac:dyDescent="0.2">
      <c r="A14" s="10" t="str">
        <f>'Template names'!C21</f>
        <v>Next yr of long term forecast</v>
      </c>
      <c r="B14" s="6" t="s">
        <v>1721</v>
      </c>
      <c r="C14" s="6" t="s">
        <v>919</v>
      </c>
      <c r="D14" s="6" t="s">
        <v>920</v>
      </c>
      <c r="E14" s="13" t="str">
        <f t="shared" ref="E14:O14" si="12">"Forecast "&amp;E1+6&amp;"/"&amp;RIGHT(E1,2)+7</f>
        <v>Forecast 2016/17</v>
      </c>
      <c r="F14" s="13" t="str">
        <f t="shared" si="12"/>
        <v>Forecast 2017/18</v>
      </c>
      <c r="G14" s="13" t="str">
        <f t="shared" si="12"/>
        <v>Forecast 2018/19</v>
      </c>
      <c r="H14" s="13" t="str">
        <f t="shared" si="12"/>
        <v>Forecast 2019/20</v>
      </c>
      <c r="I14" s="13" t="str">
        <f t="shared" si="12"/>
        <v>Forecast 2020/21</v>
      </c>
      <c r="J14" s="13" t="str">
        <f t="shared" si="12"/>
        <v>Forecast 2021/22</v>
      </c>
      <c r="K14" s="13" t="str">
        <f t="shared" si="12"/>
        <v>Forecast 2022/23</v>
      </c>
      <c r="L14" s="13" t="str">
        <f t="shared" si="12"/>
        <v>Forecast 2023/24</v>
      </c>
      <c r="M14" s="13" t="str">
        <f t="shared" si="12"/>
        <v>Forecast 2024/25</v>
      </c>
      <c r="N14" s="13" t="str">
        <f t="shared" si="12"/>
        <v>Forecast 2025/26</v>
      </c>
      <c r="O14" s="13" t="str">
        <f t="shared" si="12"/>
        <v>Forecast 2026/27</v>
      </c>
      <c r="P14" s="6"/>
      <c r="Z14" s="940" t="s">
        <v>1997</v>
      </c>
      <c r="AA14" s="940" t="s">
        <v>1998</v>
      </c>
    </row>
    <row r="15" spans="1:29" x14ac:dyDescent="0.2">
      <c r="A15" s="10" t="str">
        <f>'Template names'!C22</f>
        <v>Next yr of long term forecast</v>
      </c>
      <c r="B15" s="6" t="s">
        <v>919</v>
      </c>
      <c r="C15" s="6" t="s">
        <v>920</v>
      </c>
      <c r="D15" s="6" t="s">
        <v>921</v>
      </c>
      <c r="E15" s="13" t="str">
        <f t="shared" ref="E15:O15" si="13">"Forecast "&amp;E1+7&amp;"/"&amp;RIGHT(E1,2)+8</f>
        <v>Forecast 2017/18</v>
      </c>
      <c r="F15" s="13" t="str">
        <f t="shared" si="13"/>
        <v>Forecast 2018/19</v>
      </c>
      <c r="G15" s="13" t="str">
        <f t="shared" si="13"/>
        <v>Forecast 2019/20</v>
      </c>
      <c r="H15" s="13" t="str">
        <f t="shared" si="13"/>
        <v>Forecast 2020/21</v>
      </c>
      <c r="I15" s="13" t="str">
        <f t="shared" si="13"/>
        <v>Forecast 2021/22</v>
      </c>
      <c r="J15" s="13" t="str">
        <f t="shared" si="13"/>
        <v>Forecast 2022/23</v>
      </c>
      <c r="K15" s="13" t="str">
        <f t="shared" si="13"/>
        <v>Forecast 2023/24</v>
      </c>
      <c r="L15" s="13" t="str">
        <f t="shared" si="13"/>
        <v>Forecast 2024/25</v>
      </c>
      <c r="M15" s="13" t="str">
        <f t="shared" si="13"/>
        <v>Forecast 2025/26</v>
      </c>
      <c r="N15" s="13" t="str">
        <f t="shared" si="13"/>
        <v>Forecast 2026/27</v>
      </c>
      <c r="O15" s="13" t="str">
        <f t="shared" si="13"/>
        <v>Forecast 2027/28</v>
      </c>
      <c r="P15" s="6"/>
    </row>
    <row r="16" spans="1:29" x14ac:dyDescent="0.2">
      <c r="A16" s="10" t="str">
        <f>'Template names'!C23</f>
        <v>Next yr of long term forecast</v>
      </c>
      <c r="B16" s="6" t="s">
        <v>920</v>
      </c>
      <c r="C16" s="6" t="s">
        <v>921</v>
      </c>
      <c r="D16" s="6" t="s">
        <v>922</v>
      </c>
      <c r="E16" s="13" t="str">
        <f t="shared" ref="E16:O16" si="14">"Forecast "&amp;E1+8&amp;"/"&amp;RIGHT(E1,2)+9</f>
        <v>Forecast 2018/19</v>
      </c>
      <c r="F16" s="13" t="str">
        <f t="shared" si="14"/>
        <v>Forecast 2019/20</v>
      </c>
      <c r="G16" s="13" t="str">
        <f t="shared" si="14"/>
        <v>Forecast 2020/21</v>
      </c>
      <c r="H16" s="13" t="str">
        <f t="shared" si="14"/>
        <v>Forecast 2021/22</v>
      </c>
      <c r="I16" s="13" t="str">
        <f t="shared" si="14"/>
        <v>Forecast 2022/23</v>
      </c>
      <c r="J16" s="13" t="str">
        <f t="shared" si="14"/>
        <v>Forecast 2023/24</v>
      </c>
      <c r="K16" s="13" t="str">
        <f t="shared" si="14"/>
        <v>Forecast 2024/25</v>
      </c>
      <c r="L16" s="13" t="str">
        <f t="shared" si="14"/>
        <v>Forecast 2025/26</v>
      </c>
      <c r="M16" s="13" t="str">
        <f t="shared" si="14"/>
        <v>Forecast 2026/27</v>
      </c>
      <c r="N16" s="13" t="str">
        <f t="shared" si="14"/>
        <v>Forecast 2027/28</v>
      </c>
      <c r="O16" s="13" t="str">
        <f t="shared" si="14"/>
        <v>Forecast 2028/29</v>
      </c>
      <c r="P16" s="6"/>
      <c r="Z16" s="2" t="s">
        <v>537</v>
      </c>
      <c r="AA16" s="2" t="s">
        <v>538</v>
      </c>
    </row>
    <row r="17" spans="1:27" x14ac:dyDescent="0.2">
      <c r="A17" s="10" t="str">
        <f>'Template names'!C24</f>
        <v>Next yr of long term forecast</v>
      </c>
      <c r="B17" s="6" t="s">
        <v>921</v>
      </c>
      <c r="C17" s="6" t="s">
        <v>922</v>
      </c>
      <c r="D17" s="6" t="s">
        <v>1557</v>
      </c>
      <c r="E17" s="13" t="str">
        <f t="shared" ref="E17:O17" si="15">"Forecast "&amp;E1+9&amp;"/"&amp;RIGHT(E1,2)+10</f>
        <v>Forecast 2019/20</v>
      </c>
      <c r="F17" s="13" t="str">
        <f t="shared" si="15"/>
        <v>Forecast 2020/21</v>
      </c>
      <c r="G17" s="13" t="str">
        <f t="shared" si="15"/>
        <v>Forecast 2021/22</v>
      </c>
      <c r="H17" s="13" t="str">
        <f t="shared" si="15"/>
        <v>Forecast 2022/23</v>
      </c>
      <c r="I17" s="13" t="str">
        <f t="shared" si="15"/>
        <v>Forecast 2023/24</v>
      </c>
      <c r="J17" s="13" t="str">
        <f t="shared" si="15"/>
        <v>Forecast 2024/25</v>
      </c>
      <c r="K17" s="13" t="str">
        <f t="shared" si="15"/>
        <v>Forecast 2025/26</v>
      </c>
      <c r="L17" s="13" t="str">
        <f t="shared" si="15"/>
        <v>Forecast 2026/27</v>
      </c>
      <c r="M17" s="13" t="str">
        <f t="shared" si="15"/>
        <v>Forecast 2027/28</v>
      </c>
      <c r="N17" s="13" t="str">
        <f t="shared" si="15"/>
        <v>Forecast 2028/29</v>
      </c>
      <c r="O17" s="13" t="str">
        <f t="shared" si="15"/>
        <v>Forecast 2029/30</v>
      </c>
      <c r="P17" s="6"/>
      <c r="Z17" s="2" t="s">
        <v>21</v>
      </c>
      <c r="AA17" s="2" t="s">
        <v>539</v>
      </c>
    </row>
    <row r="18" spans="1:27" x14ac:dyDescent="0.2">
      <c r="A18" s="10" t="str">
        <f>'Template names'!C25</f>
        <v>Next yr of long term forecast</v>
      </c>
      <c r="B18" s="6" t="s">
        <v>922</v>
      </c>
      <c r="C18" s="6" t="s">
        <v>1557</v>
      </c>
      <c r="D18" s="6" t="s">
        <v>1556</v>
      </c>
      <c r="E18" s="13" t="str">
        <f t="shared" ref="E18:O18" si="16">"Forecast "&amp;E1+10&amp;"/"&amp;RIGHT(E1,2)+11</f>
        <v>Forecast 2020/21</v>
      </c>
      <c r="F18" s="13" t="str">
        <f t="shared" si="16"/>
        <v>Forecast 2021/22</v>
      </c>
      <c r="G18" s="13" t="str">
        <f t="shared" si="16"/>
        <v>Forecast 2022/23</v>
      </c>
      <c r="H18" s="13" t="str">
        <f t="shared" si="16"/>
        <v>Forecast 2023/24</v>
      </c>
      <c r="I18" s="13" t="str">
        <f t="shared" si="16"/>
        <v>Forecast 2024/25</v>
      </c>
      <c r="J18" s="13" t="str">
        <f t="shared" si="16"/>
        <v>Forecast 2025/26</v>
      </c>
      <c r="K18" s="13" t="str">
        <f t="shared" si="16"/>
        <v>Forecast 2026/27</v>
      </c>
      <c r="L18" s="13" t="str">
        <f t="shared" si="16"/>
        <v>Forecast 2027/28</v>
      </c>
      <c r="M18" s="13" t="str">
        <f t="shared" si="16"/>
        <v>Forecast 2028/29</v>
      </c>
      <c r="N18" s="13" t="str">
        <f t="shared" si="16"/>
        <v>Forecast 2029/30</v>
      </c>
      <c r="O18" s="13" t="str">
        <f t="shared" si="16"/>
        <v>Forecast 2030/31</v>
      </c>
      <c r="P18" s="6"/>
      <c r="Z18" s="2" t="s">
        <v>24</v>
      </c>
      <c r="AA18" s="2" t="s">
        <v>22</v>
      </c>
    </row>
    <row r="19" spans="1:27" x14ac:dyDescent="0.2">
      <c r="A19" s="10" t="str">
        <f>'Template names'!C26</f>
        <v>Next yr of long term forecast</v>
      </c>
      <c r="B19" s="6" t="s">
        <v>1557</v>
      </c>
      <c r="C19" s="6" t="s">
        <v>1556</v>
      </c>
      <c r="D19" s="6" t="s">
        <v>923</v>
      </c>
      <c r="E19" s="13" t="str">
        <f t="shared" ref="E19:O19" si="17">"Forecast "&amp;E1+11&amp;"/"&amp;RIGHT(E1,2)+12</f>
        <v>Forecast 2021/22</v>
      </c>
      <c r="F19" s="13" t="str">
        <f t="shared" si="17"/>
        <v>Forecast 2022/23</v>
      </c>
      <c r="G19" s="13" t="str">
        <f t="shared" si="17"/>
        <v>Forecast 2023/24</v>
      </c>
      <c r="H19" s="13" t="str">
        <f t="shared" si="17"/>
        <v>Forecast 2024/25</v>
      </c>
      <c r="I19" s="13" t="str">
        <f t="shared" si="17"/>
        <v>Forecast 2025/26</v>
      </c>
      <c r="J19" s="13" t="str">
        <f t="shared" si="17"/>
        <v>Forecast 2026/27</v>
      </c>
      <c r="K19" s="13" t="str">
        <f t="shared" si="17"/>
        <v>Forecast 2027/28</v>
      </c>
      <c r="L19" s="13" t="str">
        <f t="shared" si="17"/>
        <v>Forecast 2028/29</v>
      </c>
      <c r="M19" s="13" t="str">
        <f t="shared" si="17"/>
        <v>Forecast 2029/30</v>
      </c>
      <c r="N19" s="13" t="str">
        <f t="shared" si="17"/>
        <v>Forecast 2030/31</v>
      </c>
      <c r="O19" s="13" t="str">
        <f t="shared" si="17"/>
        <v>Forecast 2031/32</v>
      </c>
      <c r="P19" s="6"/>
      <c r="Z19" s="2" t="s">
        <v>28</v>
      </c>
      <c r="AA19" s="2" t="s">
        <v>23</v>
      </c>
    </row>
    <row r="20" spans="1:27" x14ac:dyDescent="0.2">
      <c r="A20" s="10" t="str">
        <f>'Template names'!C27</f>
        <v>Next yr of long term forecast</v>
      </c>
      <c r="B20" s="6" t="s">
        <v>1556</v>
      </c>
      <c r="C20" s="6" t="s">
        <v>923</v>
      </c>
      <c r="D20" s="6" t="s">
        <v>1632</v>
      </c>
      <c r="E20" s="13" t="str">
        <f t="shared" ref="E20:O20" si="18">"Forecast "&amp;E1+12&amp;"/"&amp;RIGHT(E1,2)+13</f>
        <v>Forecast 2022/23</v>
      </c>
      <c r="F20" s="13" t="str">
        <f t="shared" si="18"/>
        <v>Forecast 2023/24</v>
      </c>
      <c r="G20" s="13" t="str">
        <f t="shared" si="18"/>
        <v>Forecast 2024/25</v>
      </c>
      <c r="H20" s="13" t="str">
        <f t="shared" si="18"/>
        <v>Forecast 2025/26</v>
      </c>
      <c r="I20" s="13" t="str">
        <f t="shared" si="18"/>
        <v>Forecast 2026/27</v>
      </c>
      <c r="J20" s="13" t="str">
        <f t="shared" si="18"/>
        <v>Forecast 2027/28</v>
      </c>
      <c r="K20" s="13" t="str">
        <f t="shared" si="18"/>
        <v>Forecast 2028/29</v>
      </c>
      <c r="L20" s="13" t="str">
        <f t="shared" si="18"/>
        <v>Forecast 2029/30</v>
      </c>
      <c r="M20" s="13" t="str">
        <f t="shared" si="18"/>
        <v>Forecast 2030/31</v>
      </c>
      <c r="N20" s="13" t="str">
        <f t="shared" si="18"/>
        <v>Forecast 2031/32</v>
      </c>
      <c r="O20" s="13" t="str">
        <f t="shared" si="18"/>
        <v>Forecast 2032/33</v>
      </c>
      <c r="P20" s="6"/>
      <c r="Z20" s="2" t="s">
        <v>30</v>
      </c>
      <c r="AA20" s="2" t="s">
        <v>137</v>
      </c>
    </row>
    <row r="21" spans="1:27" x14ac:dyDescent="0.2">
      <c r="A21" s="10" t="str">
        <f>'Template names'!C28</f>
        <v>Next yr of long term forecast</v>
      </c>
      <c r="B21" s="6" t="s">
        <v>923</v>
      </c>
      <c r="C21" s="6" t="s">
        <v>1632</v>
      </c>
      <c r="D21" s="6" t="s">
        <v>1114</v>
      </c>
      <c r="E21" s="13" t="str">
        <f t="shared" ref="E21:O21" si="19">"Forecast "&amp;E1+13&amp;"/"&amp;RIGHT(E1,2)+14</f>
        <v>Forecast 2023/24</v>
      </c>
      <c r="F21" s="13" t="str">
        <f t="shared" si="19"/>
        <v>Forecast 2024/25</v>
      </c>
      <c r="G21" s="13" t="str">
        <f t="shared" si="19"/>
        <v>Forecast 2025/26</v>
      </c>
      <c r="H21" s="13" t="str">
        <f t="shared" si="19"/>
        <v>Forecast 2026/27</v>
      </c>
      <c r="I21" s="13" t="str">
        <f t="shared" si="19"/>
        <v>Forecast 2027/28</v>
      </c>
      <c r="J21" s="13" t="str">
        <f t="shared" si="19"/>
        <v>Forecast 2028/29</v>
      </c>
      <c r="K21" s="13" t="str">
        <f t="shared" si="19"/>
        <v>Forecast 2029/30</v>
      </c>
      <c r="L21" s="13" t="str">
        <f t="shared" si="19"/>
        <v>Forecast 2030/31</v>
      </c>
      <c r="M21" s="13" t="str">
        <f t="shared" si="19"/>
        <v>Forecast 2031/32</v>
      </c>
      <c r="N21" s="13" t="str">
        <f t="shared" si="19"/>
        <v>Forecast 2032/33</v>
      </c>
      <c r="O21" s="13" t="str">
        <f t="shared" si="19"/>
        <v>Forecast 2033/34</v>
      </c>
      <c r="P21" s="6"/>
      <c r="Z21" s="2" t="s">
        <v>1575</v>
      </c>
      <c r="AA21" s="2" t="s">
        <v>25</v>
      </c>
    </row>
    <row r="22" spans="1:27" x14ac:dyDescent="0.2">
      <c r="A22" s="10" t="str">
        <f>'Template names'!C29</f>
        <v>Next yr of long term forecast</v>
      </c>
      <c r="B22" s="6" t="s">
        <v>1632</v>
      </c>
      <c r="C22" s="6" t="s">
        <v>1114</v>
      </c>
      <c r="D22" s="6" t="s">
        <v>1378</v>
      </c>
      <c r="E22" s="13" t="str">
        <f t="shared" ref="E22:O22" si="20">"Forecast "&amp;E1+14&amp;"/"&amp;RIGHT(E1,2)+15</f>
        <v>Forecast 2024/25</v>
      </c>
      <c r="F22" s="13" t="str">
        <f t="shared" si="20"/>
        <v>Forecast 2025/26</v>
      </c>
      <c r="G22" s="13" t="str">
        <f t="shared" si="20"/>
        <v>Forecast 2026/27</v>
      </c>
      <c r="H22" s="13" t="str">
        <f t="shared" si="20"/>
        <v>Forecast 2027/28</v>
      </c>
      <c r="I22" s="13" t="str">
        <f t="shared" si="20"/>
        <v>Forecast 2028/29</v>
      </c>
      <c r="J22" s="13" t="str">
        <f t="shared" si="20"/>
        <v>Forecast 2029/30</v>
      </c>
      <c r="K22" s="13" t="str">
        <f t="shared" si="20"/>
        <v>Forecast 2030/31</v>
      </c>
      <c r="L22" s="13" t="str">
        <f t="shared" si="20"/>
        <v>Forecast 2031/32</v>
      </c>
      <c r="M22" s="13" t="str">
        <f t="shared" si="20"/>
        <v>Forecast 2032/33</v>
      </c>
      <c r="N22" s="13" t="str">
        <f t="shared" si="20"/>
        <v>Forecast 2033/34</v>
      </c>
      <c r="O22" s="13" t="str">
        <f t="shared" si="20"/>
        <v>Forecast 2034/35</v>
      </c>
      <c r="P22" s="6"/>
      <c r="Z22" s="2" t="s">
        <v>1999</v>
      </c>
      <c r="AA22" s="2" t="s">
        <v>26</v>
      </c>
    </row>
    <row r="23" spans="1:27" x14ac:dyDescent="0.2">
      <c r="A23" s="10" t="s">
        <v>1381</v>
      </c>
      <c r="B23" s="6" t="s">
        <v>1743</v>
      </c>
      <c r="C23" s="6" t="s">
        <v>1115</v>
      </c>
      <c r="D23" s="6" t="s">
        <v>1379</v>
      </c>
      <c r="E23" s="13" t="str">
        <f t="shared" ref="E23:O23" si="21">"Annual target " &amp; E1&amp;"/"&amp;RIGHT(E1,2)+1</f>
        <v>Annual target 2010/11</v>
      </c>
      <c r="F23" s="13" t="str">
        <f t="shared" si="21"/>
        <v>Annual target 2011/12</v>
      </c>
      <c r="G23" s="13" t="str">
        <f t="shared" si="21"/>
        <v>Annual target 2012/13</v>
      </c>
      <c r="H23" s="13" t="str">
        <f t="shared" si="21"/>
        <v>Annual target 2013/14</v>
      </c>
      <c r="I23" s="13" t="str">
        <f t="shared" si="21"/>
        <v>Annual target 2014/15</v>
      </c>
      <c r="J23" s="13" t="str">
        <f t="shared" si="21"/>
        <v>Annual target 2015/16</v>
      </c>
      <c r="K23" s="13" t="str">
        <f t="shared" si="21"/>
        <v>Annual target 2016/17</v>
      </c>
      <c r="L23" s="13" t="str">
        <f t="shared" si="21"/>
        <v>Annual target 2017/18</v>
      </c>
      <c r="M23" s="13" t="str">
        <f t="shared" si="21"/>
        <v>Annual target 2018/19</v>
      </c>
      <c r="N23" s="13" t="str">
        <f t="shared" si="21"/>
        <v>Annual target 2019/20</v>
      </c>
      <c r="O23" s="13" t="str">
        <f t="shared" si="21"/>
        <v>Annual target 2020/21</v>
      </c>
      <c r="P23" s="6"/>
      <c r="Z23" s="2" t="s">
        <v>2000</v>
      </c>
      <c r="AA23" s="2" t="s">
        <v>27</v>
      </c>
    </row>
    <row r="24" spans="1:27" x14ac:dyDescent="0.2">
      <c r="A24" s="11" t="str">
        <f>A23</f>
        <v>Adjustments Budget</v>
      </c>
      <c r="B24" s="19" t="s">
        <v>1744</v>
      </c>
      <c r="C24" s="19" t="s">
        <v>1116</v>
      </c>
      <c r="D24" s="19" t="s">
        <v>1380</v>
      </c>
      <c r="E24" s="14" t="str">
        <f t="shared" ref="E24:O24" si="22">"Revised target "&amp; E1&amp;"/"&amp;RIGHT(E1,2)+1</f>
        <v>Revised target 2010/11</v>
      </c>
      <c r="F24" s="14" t="str">
        <f t="shared" si="22"/>
        <v>Revised target 2011/12</v>
      </c>
      <c r="G24" s="14" t="str">
        <f t="shared" si="22"/>
        <v>Revised target 2012/13</v>
      </c>
      <c r="H24" s="14" t="str">
        <f t="shared" si="22"/>
        <v>Revised target 2013/14</v>
      </c>
      <c r="I24" s="14" t="str">
        <f t="shared" si="22"/>
        <v>Revised target 2014/15</v>
      </c>
      <c r="J24" s="14" t="str">
        <f t="shared" si="22"/>
        <v>Revised target 2015/16</v>
      </c>
      <c r="K24" s="14" t="str">
        <f t="shared" si="22"/>
        <v>Revised target 2016/17</v>
      </c>
      <c r="L24" s="14" t="str">
        <f t="shared" si="22"/>
        <v>Revised target 2017/18</v>
      </c>
      <c r="M24" s="14" t="str">
        <f t="shared" si="22"/>
        <v>Revised target 2018/19</v>
      </c>
      <c r="N24" s="14" t="str">
        <f t="shared" si="22"/>
        <v>Revised target 2019/20</v>
      </c>
      <c r="O24" s="14" t="str">
        <f t="shared" si="22"/>
        <v>Revised target 2020/21</v>
      </c>
      <c r="P24" s="6"/>
      <c r="Z24" s="2" t="s">
        <v>2005</v>
      </c>
      <c r="AA24" s="2" t="s">
        <v>29</v>
      </c>
    </row>
    <row r="25" spans="1:27" ht="18" x14ac:dyDescent="0.25">
      <c r="A25" s="822" t="s">
        <v>544</v>
      </c>
      <c r="Z25" s="2" t="s">
        <v>1544</v>
      </c>
      <c r="AA25" s="2" t="s">
        <v>1090</v>
      </c>
    </row>
    <row r="26" spans="1:27" x14ac:dyDescent="0.2">
      <c r="Z26" s="2" t="s">
        <v>136</v>
      </c>
      <c r="AA26" s="2" t="s">
        <v>321</v>
      </c>
    </row>
    <row r="27" spans="1:27" ht="12.75" x14ac:dyDescent="0.2">
      <c r="A27" s="1239" t="s">
        <v>93</v>
      </c>
      <c r="B27" s="1239">
        <v>215</v>
      </c>
      <c r="C27" s="1239"/>
      <c r="D27" s="1239"/>
      <c r="Z27" s="2" t="s">
        <v>884</v>
      </c>
      <c r="AA27" s="2" t="s">
        <v>138</v>
      </c>
    </row>
    <row r="28" spans="1:27" ht="12.75" x14ac:dyDescent="0.2">
      <c r="A28" s="1239" t="s">
        <v>92</v>
      </c>
      <c r="B28" s="1239" t="str">
        <f>INDEX(B29:B307,B27,1)</f>
        <v>NC071 Ubuntu</v>
      </c>
      <c r="C28" s="1239"/>
      <c r="D28" s="1239"/>
      <c r="Z28" s="2" t="s">
        <v>293</v>
      </c>
      <c r="AA28" s="2" t="s">
        <v>2</v>
      </c>
    </row>
    <row r="29" spans="1:27" ht="12.75" x14ac:dyDescent="0.2">
      <c r="A29" s="1239"/>
      <c r="B29" s="1239" t="s">
        <v>91</v>
      </c>
      <c r="C29" s="1239" t="s">
        <v>742</v>
      </c>
      <c r="D29" s="1239"/>
      <c r="AA29" s="2" t="s">
        <v>1595</v>
      </c>
    </row>
    <row r="30" spans="1:27" ht="12.75" x14ac:dyDescent="0.2">
      <c r="A30" s="1239"/>
      <c r="B30" s="1248" t="s">
        <v>1035</v>
      </c>
      <c r="C30" s="1166" t="s">
        <v>1036</v>
      </c>
      <c r="D30" s="1239"/>
      <c r="AA30" s="2" t="s">
        <v>506</v>
      </c>
    </row>
    <row r="31" spans="1:27" ht="12.75" x14ac:dyDescent="0.2">
      <c r="A31" s="1239"/>
      <c r="B31" s="1248" t="s">
        <v>1037</v>
      </c>
      <c r="C31" s="1168" t="s">
        <v>117</v>
      </c>
      <c r="D31" s="1239"/>
      <c r="AA31" s="2" t="s">
        <v>1</v>
      </c>
    </row>
    <row r="32" spans="1:27" ht="12.75" x14ac:dyDescent="0.2">
      <c r="A32" s="1239"/>
      <c r="B32" s="1248" t="s">
        <v>1768</v>
      </c>
      <c r="C32" s="1166" t="s">
        <v>117</v>
      </c>
      <c r="D32" s="1239"/>
      <c r="AA32" s="2" t="s">
        <v>340</v>
      </c>
    </row>
    <row r="33" spans="1:27" ht="12.75" x14ac:dyDescent="0.2">
      <c r="A33" s="1239"/>
      <c r="B33" s="1248" t="s">
        <v>1755</v>
      </c>
      <c r="C33" s="1166" t="s">
        <v>117</v>
      </c>
      <c r="D33" s="1239"/>
      <c r="AA33" s="2" t="s">
        <v>0</v>
      </c>
    </row>
    <row r="34" spans="1:27" ht="12.75" x14ac:dyDescent="0.2">
      <c r="A34" s="1239"/>
      <c r="B34" s="1248" t="s">
        <v>1904</v>
      </c>
      <c r="C34" s="1166" t="s">
        <v>117</v>
      </c>
      <c r="D34" s="1239"/>
      <c r="AA34" s="2" t="s">
        <v>1596</v>
      </c>
    </row>
    <row r="35" spans="1:27" ht="12.75" x14ac:dyDescent="0.2">
      <c r="A35" s="1239"/>
      <c r="B35" s="1248" t="s">
        <v>1757</v>
      </c>
      <c r="C35" s="1166" t="s">
        <v>117</v>
      </c>
      <c r="D35" s="1239"/>
      <c r="AA35" s="2" t="s">
        <v>964</v>
      </c>
    </row>
    <row r="36" spans="1:27" ht="12.75" x14ac:dyDescent="0.2">
      <c r="A36" s="1239"/>
      <c r="B36" s="1248" t="s">
        <v>1758</v>
      </c>
      <c r="C36" s="1166" t="s">
        <v>1759</v>
      </c>
      <c r="D36" s="1239"/>
      <c r="AA36" s="2" t="s">
        <v>1531</v>
      </c>
    </row>
    <row r="37" spans="1:27" ht="12.75" x14ac:dyDescent="0.2">
      <c r="A37" s="1239"/>
      <c r="B37" s="1248" t="s">
        <v>1762</v>
      </c>
      <c r="C37" s="1168" t="s">
        <v>1759</v>
      </c>
      <c r="D37" s="1239"/>
      <c r="AA37" s="2" t="s">
        <v>1289</v>
      </c>
    </row>
    <row r="38" spans="1:27" ht="12.75" x14ac:dyDescent="0.2">
      <c r="A38" s="1239"/>
      <c r="B38" s="1248" t="s">
        <v>1764</v>
      </c>
      <c r="C38" s="1166" t="s">
        <v>1759</v>
      </c>
      <c r="D38" s="1239"/>
      <c r="AA38" s="2" t="s">
        <v>724</v>
      </c>
    </row>
    <row r="39" spans="1:27" ht="12.75" x14ac:dyDescent="0.2">
      <c r="A39" s="1239"/>
      <c r="B39" s="1248" t="s">
        <v>1969</v>
      </c>
      <c r="C39" s="1513" t="s">
        <v>1036</v>
      </c>
      <c r="D39" s="1239"/>
      <c r="AA39" s="2" t="s">
        <v>504</v>
      </c>
    </row>
    <row r="40" spans="1:27" ht="12.75" x14ac:dyDescent="0.2">
      <c r="A40" s="1239"/>
      <c r="B40" s="1248" t="s">
        <v>1767</v>
      </c>
      <c r="C40" s="1513" t="s">
        <v>1759</v>
      </c>
      <c r="D40" s="1239"/>
      <c r="AA40" s="2" t="s">
        <v>31</v>
      </c>
    </row>
    <row r="41" spans="1:27" ht="12.75" x14ac:dyDescent="0.2">
      <c r="A41" s="1239"/>
      <c r="B41" s="1248" t="s">
        <v>1139</v>
      </c>
      <c r="C41" s="1514" t="s">
        <v>1905</v>
      </c>
      <c r="D41" s="1239"/>
      <c r="AA41" s="2" t="s">
        <v>1261</v>
      </c>
    </row>
    <row r="42" spans="1:27" ht="12.75" x14ac:dyDescent="0.2">
      <c r="A42" s="1239"/>
      <c r="B42" s="1248" t="s">
        <v>1141</v>
      </c>
      <c r="C42" s="1514" t="s">
        <v>1905</v>
      </c>
      <c r="D42" s="1239"/>
      <c r="AA42" s="2" t="s">
        <v>505</v>
      </c>
    </row>
    <row r="43" spans="1:27" ht="12.75" x14ac:dyDescent="0.2">
      <c r="A43" s="1239"/>
      <c r="B43" s="1248" t="s">
        <v>1143</v>
      </c>
      <c r="C43" s="1514" t="s">
        <v>1905</v>
      </c>
      <c r="D43" s="1239"/>
      <c r="AA43" s="2" t="s">
        <v>632</v>
      </c>
    </row>
    <row r="44" spans="1:27" ht="12.75" x14ac:dyDescent="0.2">
      <c r="A44" s="1239"/>
      <c r="B44" s="1248" t="s">
        <v>1144</v>
      </c>
      <c r="C44" s="1514" t="s">
        <v>1905</v>
      </c>
      <c r="D44" s="1239"/>
      <c r="AA44" s="2" t="s">
        <v>2001</v>
      </c>
    </row>
    <row r="45" spans="1:27" ht="12.75" x14ac:dyDescent="0.2">
      <c r="A45" s="1239"/>
      <c r="B45" s="1248" t="s">
        <v>1145</v>
      </c>
      <c r="C45" s="1514" t="s">
        <v>1905</v>
      </c>
      <c r="D45" s="1239"/>
      <c r="AA45" s="2" t="s">
        <v>2002</v>
      </c>
    </row>
    <row r="46" spans="1:27" ht="12.75" x14ac:dyDescent="0.2">
      <c r="A46" s="1239"/>
      <c r="B46" s="1248" t="s">
        <v>1147</v>
      </c>
      <c r="C46" s="1514" t="s">
        <v>1905</v>
      </c>
      <c r="D46" s="1239"/>
      <c r="AA46" s="2" t="s">
        <v>2003</v>
      </c>
    </row>
    <row r="47" spans="1:27" ht="12.75" x14ac:dyDescent="0.2">
      <c r="A47" s="1239"/>
      <c r="B47" s="1248" t="s">
        <v>1149</v>
      </c>
      <c r="C47" s="1514" t="s">
        <v>1905</v>
      </c>
      <c r="D47" s="1239"/>
      <c r="AA47" s="2" t="s">
        <v>2004</v>
      </c>
    </row>
    <row r="48" spans="1:27" ht="12.75" x14ac:dyDescent="0.2">
      <c r="A48" s="1239"/>
      <c r="B48" s="1248" t="s">
        <v>1151</v>
      </c>
      <c r="C48" s="1514" t="s">
        <v>1905</v>
      </c>
      <c r="D48" s="1239"/>
      <c r="AA48" s="2" t="s">
        <v>1249</v>
      </c>
    </row>
    <row r="49" spans="1:27" ht="12.75" x14ac:dyDescent="0.2">
      <c r="A49" s="1239"/>
      <c r="B49" s="1248" t="s">
        <v>1155</v>
      </c>
      <c r="C49" s="1514" t="s">
        <v>1905</v>
      </c>
      <c r="D49" s="1239"/>
      <c r="AA49" s="2" t="s">
        <v>633</v>
      </c>
    </row>
    <row r="50" spans="1:27" ht="12.75" x14ac:dyDescent="0.2">
      <c r="A50" s="1239"/>
      <c r="B50" s="1248" t="s">
        <v>1157</v>
      </c>
      <c r="C50" s="1514" t="s">
        <v>1036</v>
      </c>
      <c r="D50" s="1239"/>
      <c r="AA50" s="2" t="s">
        <v>634</v>
      </c>
    </row>
    <row r="51" spans="1:27" ht="12.75" x14ac:dyDescent="0.2">
      <c r="A51" s="1239"/>
      <c r="B51" s="1248" t="s">
        <v>1158</v>
      </c>
      <c r="C51" s="1513" t="s">
        <v>1159</v>
      </c>
      <c r="D51" s="1239"/>
      <c r="AA51" s="2" t="s">
        <v>1250</v>
      </c>
    </row>
    <row r="52" spans="1:27" ht="12.75" x14ac:dyDescent="0.2">
      <c r="A52" s="1239"/>
      <c r="B52" s="1248" t="s">
        <v>1161</v>
      </c>
      <c r="C52" s="1513" t="s">
        <v>1159</v>
      </c>
      <c r="D52" s="1239"/>
      <c r="AA52" s="2" t="s">
        <v>1251</v>
      </c>
    </row>
    <row r="53" spans="1:27" ht="12.75" x14ac:dyDescent="0.2">
      <c r="A53" s="1239"/>
      <c r="B53" s="1248" t="s">
        <v>1162</v>
      </c>
      <c r="C53" s="1513" t="s">
        <v>1159</v>
      </c>
      <c r="D53" s="1239"/>
      <c r="AA53" s="2" t="s">
        <v>1529</v>
      </c>
    </row>
    <row r="54" spans="1:27" ht="12.75" x14ac:dyDescent="0.2">
      <c r="A54" s="1239"/>
      <c r="B54" s="1248" t="s">
        <v>1164</v>
      </c>
      <c r="C54" s="1513" t="s">
        <v>1159</v>
      </c>
      <c r="D54" s="1239"/>
      <c r="AA54" s="2" t="s">
        <v>323</v>
      </c>
    </row>
    <row r="55" spans="1:27" ht="12.75" x14ac:dyDescent="0.2">
      <c r="A55" s="1239"/>
      <c r="B55" s="1248" t="s">
        <v>1168</v>
      </c>
      <c r="C55" s="1513" t="s">
        <v>1165</v>
      </c>
      <c r="D55" s="1239"/>
      <c r="AA55" s="2" t="s">
        <v>322</v>
      </c>
    </row>
    <row r="56" spans="1:27" ht="12.75" x14ac:dyDescent="0.2">
      <c r="A56" s="1239"/>
      <c r="B56" s="1248" t="s">
        <v>1169</v>
      </c>
      <c r="C56" s="1513" t="s">
        <v>1165</v>
      </c>
      <c r="D56" s="1239"/>
      <c r="AA56" s="2" t="s">
        <v>635</v>
      </c>
    </row>
    <row r="57" spans="1:27" ht="12.75" x14ac:dyDescent="0.2">
      <c r="A57" s="1239"/>
      <c r="B57" s="1248" t="s">
        <v>1170</v>
      </c>
      <c r="C57" s="1165" t="s">
        <v>1165</v>
      </c>
      <c r="D57" s="1239"/>
      <c r="AA57" s="2" t="s">
        <v>975</v>
      </c>
    </row>
    <row r="58" spans="1:27" ht="12.75" x14ac:dyDescent="0.2">
      <c r="A58" s="1239"/>
      <c r="B58" s="1248" t="s">
        <v>1171</v>
      </c>
      <c r="C58" s="1172" t="s">
        <v>1172</v>
      </c>
      <c r="D58" s="1239"/>
      <c r="AA58" s="2" t="s">
        <v>293</v>
      </c>
    </row>
    <row r="59" spans="1:27" ht="12.75" x14ac:dyDescent="0.2">
      <c r="A59" s="1239"/>
      <c r="B59" s="1248" t="s">
        <v>1173</v>
      </c>
      <c r="C59" s="1172" t="s">
        <v>1172</v>
      </c>
      <c r="D59" s="1239"/>
    </row>
    <row r="60" spans="1:27" ht="12.75" x14ac:dyDescent="0.2">
      <c r="A60" s="1239"/>
      <c r="B60" s="1248" t="s">
        <v>1769</v>
      </c>
      <c r="C60" s="1513" t="s">
        <v>1172</v>
      </c>
      <c r="D60" s="1239"/>
      <c r="Z60" s="940" t="s">
        <v>2266</v>
      </c>
      <c r="AA60" s="940"/>
    </row>
    <row r="61" spans="1:27" ht="12.75" x14ac:dyDescent="0.2">
      <c r="A61" s="1239"/>
      <c r="B61" s="1248" t="s">
        <v>1176</v>
      </c>
      <c r="C61" s="1513" t="s">
        <v>1036</v>
      </c>
      <c r="D61" s="1239"/>
      <c r="Z61" s="1789" t="s">
        <v>2071</v>
      </c>
      <c r="AA61" s="1789" t="s">
        <v>2072</v>
      </c>
    </row>
    <row r="62" spans="1:27" ht="12.75" x14ac:dyDescent="0.2">
      <c r="A62" s="1239"/>
      <c r="B62" s="1248" t="s">
        <v>1770</v>
      </c>
      <c r="C62" s="1513" t="s">
        <v>1172</v>
      </c>
      <c r="D62" s="1239"/>
      <c r="Z62" s="1790" t="s">
        <v>428</v>
      </c>
      <c r="AA62" s="1790" t="s">
        <v>2070</v>
      </c>
    </row>
    <row r="63" spans="1:27" ht="12.75" x14ac:dyDescent="0.2">
      <c r="A63" s="1239"/>
      <c r="B63" s="1248" t="s">
        <v>1183</v>
      </c>
      <c r="C63" s="1513" t="s">
        <v>1184</v>
      </c>
      <c r="D63" s="1239"/>
      <c r="Z63" s="1790" t="s">
        <v>829</v>
      </c>
      <c r="AA63" s="1790" t="s">
        <v>1692</v>
      </c>
    </row>
    <row r="64" spans="1:27" ht="12.75" x14ac:dyDescent="0.2">
      <c r="A64" s="1239"/>
      <c r="B64" s="1248" t="s">
        <v>1185</v>
      </c>
      <c r="C64" s="1514" t="s">
        <v>1905</v>
      </c>
      <c r="D64" s="1239"/>
    </row>
    <row r="65" spans="1:26" ht="12.75" x14ac:dyDescent="0.2">
      <c r="A65" s="1239"/>
      <c r="B65" s="1248" t="s">
        <v>491</v>
      </c>
      <c r="C65" s="1513" t="s">
        <v>117</v>
      </c>
      <c r="D65" s="1239"/>
    </row>
    <row r="66" spans="1:26" ht="12.75" x14ac:dyDescent="0.2">
      <c r="A66" s="1239"/>
      <c r="B66" s="1248" t="s">
        <v>1906</v>
      </c>
      <c r="C66" s="1513" t="s">
        <v>1189</v>
      </c>
      <c r="D66" s="1239"/>
      <c r="Z66" s="940" t="s">
        <v>2267</v>
      </c>
    </row>
    <row r="67" spans="1:26" ht="12.75" x14ac:dyDescent="0.2">
      <c r="A67" s="1239"/>
      <c r="B67" s="1248" t="s">
        <v>1970</v>
      </c>
      <c r="C67" s="1513" t="s">
        <v>1165</v>
      </c>
      <c r="D67" s="1239"/>
      <c r="Z67" s="2" t="s">
        <v>428</v>
      </c>
    </row>
    <row r="68" spans="1:26" ht="12.75" x14ac:dyDescent="0.2">
      <c r="A68" s="1239"/>
      <c r="B68" s="1248" t="s">
        <v>1186</v>
      </c>
      <c r="C68" s="1513" t="s">
        <v>1184</v>
      </c>
      <c r="D68" s="1239"/>
      <c r="Z68" s="2" t="s">
        <v>829</v>
      </c>
    </row>
    <row r="69" spans="1:26" ht="12.75" x14ac:dyDescent="0.2">
      <c r="A69" s="1239"/>
      <c r="B69" s="1248" t="s">
        <v>1187</v>
      </c>
      <c r="C69" s="1513" t="s">
        <v>1036</v>
      </c>
      <c r="D69" s="1239"/>
    </row>
    <row r="70" spans="1:26" ht="12.75" x14ac:dyDescent="0.2">
      <c r="A70" s="1239"/>
      <c r="B70" s="1248" t="s">
        <v>1188</v>
      </c>
      <c r="C70" s="1513" t="s">
        <v>1189</v>
      </c>
      <c r="D70" s="1239"/>
    </row>
    <row r="71" spans="1:26" ht="12.75" x14ac:dyDescent="0.2">
      <c r="A71" s="1239"/>
      <c r="B71" s="1248" t="s">
        <v>1971</v>
      </c>
      <c r="C71" s="1513" t="s">
        <v>1189</v>
      </c>
      <c r="D71" s="1239"/>
    </row>
    <row r="72" spans="1:26" ht="12.75" x14ac:dyDescent="0.2">
      <c r="A72" s="1239"/>
      <c r="B72" s="1248" t="s">
        <v>1190</v>
      </c>
      <c r="C72" s="1513" t="s">
        <v>1189</v>
      </c>
      <c r="D72" s="1239"/>
    </row>
    <row r="73" spans="1:26" ht="12.75" x14ac:dyDescent="0.2">
      <c r="A73" s="1239"/>
      <c r="B73" s="1248" t="s">
        <v>1191</v>
      </c>
      <c r="C73" s="1513" t="s">
        <v>1189</v>
      </c>
      <c r="D73" s="1239"/>
    </row>
    <row r="74" spans="1:26" ht="12.75" x14ac:dyDescent="0.2">
      <c r="A74" s="1239"/>
      <c r="B74" s="1248" t="s">
        <v>1192</v>
      </c>
      <c r="C74" s="1513" t="s">
        <v>117</v>
      </c>
      <c r="D74" s="1239"/>
    </row>
    <row r="75" spans="1:26" ht="12.75" x14ac:dyDescent="0.2">
      <c r="A75" s="1239"/>
      <c r="B75" s="1248" t="s">
        <v>1972</v>
      </c>
      <c r="C75" s="1513" t="s">
        <v>117</v>
      </c>
      <c r="D75" s="1239"/>
    </row>
    <row r="76" spans="1:26" ht="12.75" x14ac:dyDescent="0.2">
      <c r="A76" s="1239"/>
      <c r="B76" s="1248" t="s">
        <v>1193</v>
      </c>
      <c r="C76" s="1513" t="s">
        <v>117</v>
      </c>
      <c r="D76" s="1239"/>
    </row>
    <row r="77" spans="1:26" ht="12.75" x14ac:dyDescent="0.2">
      <c r="A77" s="1239"/>
      <c r="B77" s="1248" t="s">
        <v>1194</v>
      </c>
      <c r="C77" s="1513" t="s">
        <v>117</v>
      </c>
      <c r="D77" s="1239"/>
    </row>
    <row r="78" spans="1:26" ht="12.75" x14ac:dyDescent="0.2">
      <c r="A78" s="1239"/>
      <c r="B78" s="1248" t="s">
        <v>1195</v>
      </c>
      <c r="C78" s="1513" t="s">
        <v>117</v>
      </c>
      <c r="D78" s="1239"/>
    </row>
    <row r="79" spans="1:26" ht="12.75" x14ac:dyDescent="0.2">
      <c r="A79" s="1239"/>
      <c r="B79" s="1248" t="s">
        <v>1196</v>
      </c>
      <c r="C79" s="1513" t="s">
        <v>117</v>
      </c>
      <c r="D79" s="1239"/>
    </row>
    <row r="80" spans="1:26" ht="12.75" x14ac:dyDescent="0.2">
      <c r="A80" s="1239"/>
      <c r="B80" s="1248" t="s">
        <v>1197</v>
      </c>
      <c r="C80" s="1513" t="s">
        <v>117</v>
      </c>
      <c r="D80" s="1239"/>
    </row>
    <row r="81" spans="1:4" ht="12.75" x14ac:dyDescent="0.2">
      <c r="A81" s="1239"/>
      <c r="B81" s="1248" t="s">
        <v>1198</v>
      </c>
      <c r="C81" s="1513" t="s">
        <v>117</v>
      </c>
      <c r="D81" s="1239"/>
    </row>
    <row r="82" spans="1:4" ht="12.75" x14ac:dyDescent="0.2">
      <c r="A82" s="1239"/>
      <c r="B82" s="1248" t="s">
        <v>1199</v>
      </c>
      <c r="C82" s="1513" t="s">
        <v>117</v>
      </c>
      <c r="D82" s="1239"/>
    </row>
    <row r="83" spans="1:4" ht="12.75" x14ac:dyDescent="0.2">
      <c r="A83" s="1239"/>
      <c r="B83" s="1248" t="s">
        <v>1200</v>
      </c>
      <c r="C83" s="1513" t="s">
        <v>117</v>
      </c>
      <c r="D83" s="1239"/>
    </row>
    <row r="84" spans="1:4" ht="12.75" x14ac:dyDescent="0.2">
      <c r="A84" s="1239"/>
      <c r="B84" s="1248" t="s">
        <v>1907</v>
      </c>
      <c r="C84" s="1513" t="s">
        <v>117</v>
      </c>
      <c r="D84" s="1239"/>
    </row>
    <row r="85" spans="1:4" ht="12.75" x14ac:dyDescent="0.2">
      <c r="A85" s="1239"/>
      <c r="B85" s="1248" t="s">
        <v>1201</v>
      </c>
      <c r="C85" s="1513" t="s">
        <v>117</v>
      </c>
      <c r="D85" s="1239"/>
    </row>
    <row r="86" spans="1:4" ht="12.75" x14ac:dyDescent="0.2">
      <c r="A86" s="1239"/>
      <c r="B86" s="1248" t="s">
        <v>1202</v>
      </c>
      <c r="C86" s="1513" t="s">
        <v>117</v>
      </c>
      <c r="D86" s="1239"/>
    </row>
    <row r="87" spans="1:4" ht="12.75" x14ac:dyDescent="0.2">
      <c r="A87" s="1239"/>
      <c r="B87" s="1248" t="s">
        <v>1203</v>
      </c>
      <c r="C87" s="1513" t="s">
        <v>117</v>
      </c>
      <c r="D87" s="1239"/>
    </row>
    <row r="88" spans="1:4" ht="12.75" x14ac:dyDescent="0.2">
      <c r="A88" s="1239"/>
      <c r="B88" s="1248" t="s">
        <v>1204</v>
      </c>
      <c r="C88" s="1513" t="s">
        <v>117</v>
      </c>
      <c r="D88" s="1239"/>
    </row>
    <row r="89" spans="1:4" ht="12.75" x14ac:dyDescent="0.2">
      <c r="A89" s="1239"/>
      <c r="B89" s="1248" t="s">
        <v>1205</v>
      </c>
      <c r="C89" s="1513" t="s">
        <v>117</v>
      </c>
      <c r="D89" s="1239"/>
    </row>
    <row r="90" spans="1:4" ht="12.75" x14ac:dyDescent="0.2">
      <c r="A90" s="1239"/>
      <c r="B90" s="1248" t="s">
        <v>1206</v>
      </c>
      <c r="C90" s="1513" t="s">
        <v>117</v>
      </c>
      <c r="D90" s="1239"/>
    </row>
    <row r="91" spans="1:4" ht="12.75" x14ac:dyDescent="0.2">
      <c r="A91" s="1239"/>
      <c r="B91" s="1248" t="s">
        <v>1207</v>
      </c>
      <c r="C91" s="1513" t="s">
        <v>117</v>
      </c>
      <c r="D91" s="1239"/>
    </row>
    <row r="92" spans="1:4" ht="12.75" x14ac:dyDescent="0.2">
      <c r="A92" s="1239"/>
      <c r="B92" s="1248" t="s">
        <v>1208</v>
      </c>
      <c r="C92" s="1513" t="s">
        <v>117</v>
      </c>
      <c r="D92" s="1239"/>
    </row>
    <row r="93" spans="1:4" ht="12.75" x14ac:dyDescent="0.2">
      <c r="A93" s="1239"/>
      <c r="B93" s="1248" t="s">
        <v>1209</v>
      </c>
      <c r="C93" s="1513" t="s">
        <v>117</v>
      </c>
      <c r="D93" s="1239"/>
    </row>
    <row r="94" spans="1:4" ht="12.75" x14ac:dyDescent="0.2">
      <c r="A94" s="1239"/>
      <c r="B94" s="1248" t="s">
        <v>1210</v>
      </c>
      <c r="C94" s="1513" t="s">
        <v>117</v>
      </c>
      <c r="D94" s="1239"/>
    </row>
    <row r="95" spans="1:4" ht="12.75" x14ac:dyDescent="0.2">
      <c r="A95" s="1239"/>
      <c r="B95" s="1248" t="s">
        <v>181</v>
      </c>
      <c r="C95" s="1513" t="s">
        <v>117</v>
      </c>
      <c r="D95" s="1239"/>
    </row>
    <row r="96" spans="1:4" ht="12.75" x14ac:dyDescent="0.2">
      <c r="A96" s="1239"/>
      <c r="B96" s="1248" t="s">
        <v>182</v>
      </c>
      <c r="C96" s="1513" t="s">
        <v>117</v>
      </c>
      <c r="D96" s="1239"/>
    </row>
    <row r="97" spans="1:4" ht="12.75" x14ac:dyDescent="0.2">
      <c r="A97" s="1239"/>
      <c r="B97" s="1248" t="s">
        <v>183</v>
      </c>
      <c r="C97" s="1513" t="s">
        <v>117</v>
      </c>
      <c r="D97" s="1239"/>
    </row>
    <row r="98" spans="1:4" ht="12.75" x14ac:dyDescent="0.2">
      <c r="A98" s="1239"/>
      <c r="B98" s="1248" t="s">
        <v>184</v>
      </c>
      <c r="C98" s="1513" t="s">
        <v>117</v>
      </c>
      <c r="D98" s="1239"/>
    </row>
    <row r="99" spans="1:4" ht="12.75" x14ac:dyDescent="0.2">
      <c r="A99" s="1239"/>
      <c r="B99" s="1248" t="s">
        <v>185</v>
      </c>
      <c r="C99" s="1513" t="s">
        <v>117</v>
      </c>
      <c r="D99" s="1239"/>
    </row>
    <row r="100" spans="1:4" ht="12.75" x14ac:dyDescent="0.2">
      <c r="A100" s="1239"/>
      <c r="B100" s="1248" t="s">
        <v>186</v>
      </c>
      <c r="C100" s="1513" t="s">
        <v>117</v>
      </c>
      <c r="D100" s="1239"/>
    </row>
    <row r="101" spans="1:4" ht="12.75" x14ac:dyDescent="0.2">
      <c r="A101" s="1239"/>
      <c r="B101" s="1248" t="s">
        <v>187</v>
      </c>
      <c r="C101" s="1513" t="s">
        <v>117</v>
      </c>
      <c r="D101" s="1239"/>
    </row>
    <row r="102" spans="1:4" ht="12.75" x14ac:dyDescent="0.2">
      <c r="A102" s="1239"/>
      <c r="B102" s="1248" t="s">
        <v>188</v>
      </c>
      <c r="C102" s="1513" t="s">
        <v>117</v>
      </c>
      <c r="D102" s="1239"/>
    </row>
    <row r="103" spans="1:4" ht="12.75" x14ac:dyDescent="0.2">
      <c r="A103" s="1239"/>
      <c r="B103" s="1248" t="s">
        <v>858</v>
      </c>
      <c r="C103" s="1513" t="s">
        <v>117</v>
      </c>
      <c r="D103" s="1239"/>
    </row>
    <row r="104" spans="1:4" ht="12.75" x14ac:dyDescent="0.2">
      <c r="A104" s="1239"/>
      <c r="B104" s="1248" t="s">
        <v>1771</v>
      </c>
      <c r="C104" s="1513" t="s">
        <v>117</v>
      </c>
      <c r="D104" s="1239"/>
    </row>
    <row r="105" spans="1:4" ht="12.75" x14ac:dyDescent="0.2">
      <c r="A105" s="1239"/>
      <c r="B105" s="1248" t="s">
        <v>859</v>
      </c>
      <c r="C105" s="1513" t="s">
        <v>117</v>
      </c>
      <c r="D105" s="1239"/>
    </row>
    <row r="106" spans="1:4" ht="12.75" x14ac:dyDescent="0.2">
      <c r="A106" s="1239"/>
      <c r="B106" s="1248" t="s">
        <v>860</v>
      </c>
      <c r="C106" s="1513" t="s">
        <v>117</v>
      </c>
      <c r="D106" s="1239"/>
    </row>
    <row r="107" spans="1:4" ht="12.75" x14ac:dyDescent="0.2">
      <c r="A107" s="1239"/>
      <c r="B107" s="1248" t="s">
        <v>861</v>
      </c>
      <c r="C107" s="1513" t="s">
        <v>117</v>
      </c>
      <c r="D107" s="1239"/>
    </row>
    <row r="108" spans="1:4" ht="12.75" x14ac:dyDescent="0.2">
      <c r="A108" s="1239"/>
      <c r="B108" s="1248" t="s">
        <v>862</v>
      </c>
      <c r="C108" s="1513" t="s">
        <v>117</v>
      </c>
      <c r="D108" s="1239"/>
    </row>
    <row r="109" spans="1:4" ht="12.75" x14ac:dyDescent="0.2">
      <c r="A109" s="1239"/>
      <c r="B109" s="1248" t="s">
        <v>1772</v>
      </c>
      <c r="C109" s="1513" t="s">
        <v>117</v>
      </c>
      <c r="D109" s="1239"/>
    </row>
    <row r="110" spans="1:4" ht="12.75" x14ac:dyDescent="0.2">
      <c r="A110" s="1239"/>
      <c r="B110" s="1248" t="s">
        <v>1773</v>
      </c>
      <c r="C110" s="1513" t="s">
        <v>117</v>
      </c>
      <c r="D110" s="1239"/>
    </row>
    <row r="111" spans="1:4" ht="12.75" x14ac:dyDescent="0.2">
      <c r="A111" s="1239"/>
      <c r="B111" s="1248" t="s">
        <v>1973</v>
      </c>
      <c r="C111" s="1513" t="s">
        <v>117</v>
      </c>
      <c r="D111" s="1239"/>
    </row>
    <row r="112" spans="1:4" ht="12.75" x14ac:dyDescent="0.2">
      <c r="A112" s="1239"/>
      <c r="B112" s="1248" t="s">
        <v>1974</v>
      </c>
      <c r="C112" s="1513" t="s">
        <v>117</v>
      </c>
      <c r="D112" s="1239"/>
    </row>
    <row r="113" spans="1:4" ht="12.75" x14ac:dyDescent="0.2">
      <c r="A113" s="1239"/>
      <c r="B113" s="1248" t="s">
        <v>1980</v>
      </c>
      <c r="C113" s="1166" t="s">
        <v>1759</v>
      </c>
      <c r="D113" s="1239"/>
    </row>
    <row r="114" spans="1:4" ht="12.75" x14ac:dyDescent="0.2">
      <c r="A114" s="1239"/>
      <c r="B114" s="1248" t="s">
        <v>863</v>
      </c>
      <c r="C114" s="1166" t="s">
        <v>1759</v>
      </c>
      <c r="D114" s="1239"/>
    </row>
    <row r="115" spans="1:4" ht="12.75" x14ac:dyDescent="0.2">
      <c r="A115" s="1239"/>
      <c r="B115" s="1248" t="s">
        <v>864</v>
      </c>
      <c r="C115" s="1166" t="s">
        <v>1759</v>
      </c>
      <c r="D115" s="1239"/>
    </row>
    <row r="116" spans="1:4" ht="12.75" x14ac:dyDescent="0.2">
      <c r="A116" s="1239"/>
      <c r="B116" s="1248" t="s">
        <v>865</v>
      </c>
      <c r="C116" s="1166" t="s">
        <v>1759</v>
      </c>
      <c r="D116" s="1239"/>
    </row>
    <row r="117" spans="1:4" ht="12.75" x14ac:dyDescent="0.2">
      <c r="A117" s="1239"/>
      <c r="B117" s="1248" t="s">
        <v>1975</v>
      </c>
      <c r="C117" s="1166" t="s">
        <v>1759</v>
      </c>
      <c r="D117" s="1239"/>
    </row>
    <row r="118" spans="1:4" ht="12.75" x14ac:dyDescent="0.2">
      <c r="A118" s="1239"/>
      <c r="B118" s="1248" t="s">
        <v>866</v>
      </c>
      <c r="C118" s="1166" t="s">
        <v>1759</v>
      </c>
      <c r="D118" s="1239"/>
    </row>
    <row r="119" spans="1:4" ht="12.75" x14ac:dyDescent="0.2">
      <c r="A119" s="1239"/>
      <c r="B119" s="1248" t="s">
        <v>867</v>
      </c>
      <c r="C119" s="1166" t="s">
        <v>1759</v>
      </c>
      <c r="D119" s="1239"/>
    </row>
    <row r="120" spans="1:4" ht="12.75" x14ac:dyDescent="0.2">
      <c r="A120" s="1239"/>
      <c r="B120" s="1248" t="s">
        <v>868</v>
      </c>
      <c r="C120" s="1166" t="s">
        <v>1759</v>
      </c>
      <c r="D120" s="1239"/>
    </row>
    <row r="121" spans="1:4" ht="12.75" x14ac:dyDescent="0.2">
      <c r="A121" s="1239"/>
      <c r="B121" s="1248" t="s">
        <v>869</v>
      </c>
      <c r="C121" s="1166" t="s">
        <v>1759</v>
      </c>
      <c r="D121" s="1239"/>
    </row>
    <row r="122" spans="1:4" ht="12.75" x14ac:dyDescent="0.2">
      <c r="A122" s="1239"/>
      <c r="B122" s="1248" t="s">
        <v>870</v>
      </c>
      <c r="C122" s="1166" t="s">
        <v>1759</v>
      </c>
      <c r="D122" s="1239"/>
    </row>
    <row r="123" spans="1:4" ht="12.75" x14ac:dyDescent="0.2">
      <c r="A123" s="1239"/>
      <c r="B123" s="1248" t="s">
        <v>871</v>
      </c>
      <c r="C123" s="1166" t="s">
        <v>1759</v>
      </c>
      <c r="D123" s="1239"/>
    </row>
    <row r="124" spans="1:4" ht="12.75" x14ac:dyDescent="0.2">
      <c r="A124" s="1239"/>
      <c r="B124" s="1248" t="s">
        <v>872</v>
      </c>
      <c r="C124" s="1166" t="s">
        <v>1759</v>
      </c>
      <c r="D124" s="1239"/>
    </row>
    <row r="125" spans="1:4" ht="12.75" x14ac:dyDescent="0.2">
      <c r="A125" s="1239"/>
      <c r="B125" s="1248" t="s">
        <v>873</v>
      </c>
      <c r="C125" s="1166" t="s">
        <v>1759</v>
      </c>
      <c r="D125" s="1239"/>
    </row>
    <row r="126" spans="1:4" ht="12.75" x14ac:dyDescent="0.2">
      <c r="A126" s="1239"/>
      <c r="B126" s="1248" t="s">
        <v>1774</v>
      </c>
      <c r="C126" s="1166" t="s">
        <v>1759</v>
      </c>
      <c r="D126" s="1239"/>
    </row>
    <row r="127" spans="1:4" ht="12.75" x14ac:dyDescent="0.2">
      <c r="A127" s="1239"/>
      <c r="B127" s="1248" t="s">
        <v>874</v>
      </c>
      <c r="C127" s="1166" t="s">
        <v>1759</v>
      </c>
      <c r="D127" s="1239"/>
    </row>
    <row r="128" spans="1:4" ht="12.75" x14ac:dyDescent="0.2">
      <c r="A128" s="1239"/>
      <c r="B128" s="1248" t="s">
        <v>1976</v>
      </c>
      <c r="C128" s="1166" t="s">
        <v>1759</v>
      </c>
      <c r="D128" s="1239"/>
    </row>
    <row r="129" spans="1:4" ht="12.75" x14ac:dyDescent="0.2">
      <c r="A129" s="1239"/>
      <c r="B129" s="1248" t="s">
        <v>875</v>
      </c>
      <c r="C129" s="1166" t="s">
        <v>1759</v>
      </c>
      <c r="D129" s="1239"/>
    </row>
    <row r="130" spans="1:4" ht="12.75" x14ac:dyDescent="0.2">
      <c r="A130" s="1239"/>
      <c r="B130" s="1248" t="s">
        <v>876</v>
      </c>
      <c r="C130" s="1166" t="s">
        <v>1759</v>
      </c>
      <c r="D130" s="1239"/>
    </row>
    <row r="131" spans="1:4" ht="12.75" x14ac:dyDescent="0.2">
      <c r="A131" s="1239"/>
      <c r="B131" s="1248" t="s">
        <v>902</v>
      </c>
      <c r="C131" s="1166" t="s">
        <v>1759</v>
      </c>
      <c r="D131" s="1239"/>
    </row>
    <row r="132" spans="1:4" ht="12.75" x14ac:dyDescent="0.2">
      <c r="A132" s="1239"/>
      <c r="B132" s="1248" t="s">
        <v>903</v>
      </c>
      <c r="C132" s="1166" t="s">
        <v>1759</v>
      </c>
      <c r="D132" s="1239"/>
    </row>
    <row r="133" spans="1:4" ht="12.75" x14ac:dyDescent="0.2">
      <c r="A133" s="1239"/>
      <c r="B133" s="1248" t="s">
        <v>904</v>
      </c>
      <c r="C133" s="1513" t="s">
        <v>1184</v>
      </c>
      <c r="D133" s="1239"/>
    </row>
    <row r="134" spans="1:4" ht="12.75" x14ac:dyDescent="0.2">
      <c r="A134" s="1239"/>
      <c r="B134" s="1248" t="s">
        <v>905</v>
      </c>
      <c r="C134" s="1513" t="s">
        <v>1184</v>
      </c>
      <c r="D134" s="1239"/>
    </row>
    <row r="135" spans="1:4" ht="12.75" x14ac:dyDescent="0.2">
      <c r="A135" s="1239"/>
      <c r="B135" s="1248" t="s">
        <v>906</v>
      </c>
      <c r="C135" s="1513" t="s">
        <v>1184</v>
      </c>
      <c r="D135" s="1239"/>
    </row>
    <row r="136" spans="1:4" ht="12.75" x14ac:dyDescent="0.2">
      <c r="A136" s="1239"/>
      <c r="B136" s="1248" t="s">
        <v>907</v>
      </c>
      <c r="C136" s="1513" t="s">
        <v>1184</v>
      </c>
      <c r="D136" s="1239"/>
    </row>
    <row r="137" spans="1:4" ht="12.75" x14ac:dyDescent="0.2">
      <c r="A137" s="1239"/>
      <c r="B137" s="1248" t="s">
        <v>908</v>
      </c>
      <c r="C137" s="1513" t="s">
        <v>1184</v>
      </c>
      <c r="D137" s="1239"/>
    </row>
    <row r="138" spans="1:4" ht="12.75" x14ac:dyDescent="0.2">
      <c r="A138" s="1239"/>
      <c r="B138" s="1248" t="s">
        <v>245</v>
      </c>
      <c r="C138" s="1513" t="s">
        <v>1184</v>
      </c>
      <c r="D138" s="1239"/>
    </row>
    <row r="139" spans="1:4" ht="12.75" x14ac:dyDescent="0.2">
      <c r="A139" s="1239"/>
      <c r="B139" s="1248" t="s">
        <v>836</v>
      </c>
      <c r="C139" s="1513" t="s">
        <v>1184</v>
      </c>
      <c r="D139" s="1239"/>
    </row>
    <row r="140" spans="1:4" ht="12.75" x14ac:dyDescent="0.2">
      <c r="A140" s="1239"/>
      <c r="B140" s="1248" t="s">
        <v>837</v>
      </c>
      <c r="C140" s="1513" t="s">
        <v>1184</v>
      </c>
      <c r="D140" s="1239"/>
    </row>
    <row r="141" spans="1:4" ht="12.75" x14ac:dyDescent="0.2">
      <c r="A141" s="1239"/>
      <c r="B141" s="1248" t="s">
        <v>838</v>
      </c>
      <c r="C141" s="1513" t="s">
        <v>1184</v>
      </c>
      <c r="D141" s="1239"/>
    </row>
    <row r="142" spans="1:4" ht="12.75" x14ac:dyDescent="0.2">
      <c r="A142" s="1239"/>
      <c r="B142" s="1248" t="s">
        <v>1908</v>
      </c>
      <c r="C142" s="1513" t="s">
        <v>1184</v>
      </c>
      <c r="D142" s="1239"/>
    </row>
    <row r="143" spans="1:4" ht="12.75" x14ac:dyDescent="0.2">
      <c r="A143" s="1239"/>
      <c r="B143" s="1248" t="s">
        <v>1775</v>
      </c>
      <c r="C143" s="1514" t="s">
        <v>1905</v>
      </c>
      <c r="D143" s="1239"/>
    </row>
    <row r="144" spans="1:4" ht="12.75" x14ac:dyDescent="0.2">
      <c r="A144" s="1239"/>
      <c r="B144" s="1248" t="s">
        <v>1776</v>
      </c>
      <c r="C144" s="1514" t="s">
        <v>1905</v>
      </c>
      <c r="D144" s="1239"/>
    </row>
    <row r="145" spans="1:4" ht="12.75" x14ac:dyDescent="0.2">
      <c r="A145" s="1239"/>
      <c r="B145" s="1248" t="s">
        <v>1777</v>
      </c>
      <c r="C145" s="1514" t="s">
        <v>1905</v>
      </c>
      <c r="D145" s="1239"/>
    </row>
    <row r="146" spans="1:4" ht="12.75" x14ac:dyDescent="0.2">
      <c r="A146" s="1239"/>
      <c r="B146" s="1248" t="s">
        <v>1778</v>
      </c>
      <c r="C146" s="1514" t="s">
        <v>1905</v>
      </c>
      <c r="D146" s="1239"/>
    </row>
    <row r="147" spans="1:4" ht="12.75" x14ac:dyDescent="0.2">
      <c r="A147" s="1239"/>
      <c r="B147" s="1248" t="s">
        <v>1779</v>
      </c>
      <c r="C147" s="1514" t="s">
        <v>1905</v>
      </c>
      <c r="D147" s="1239"/>
    </row>
    <row r="148" spans="1:4" ht="12.75" x14ac:dyDescent="0.2">
      <c r="A148" s="1239"/>
      <c r="B148" s="1248" t="s">
        <v>1909</v>
      </c>
      <c r="C148" s="1514" t="s">
        <v>1905</v>
      </c>
      <c r="D148" s="1239"/>
    </row>
    <row r="149" spans="1:4" ht="12.75" x14ac:dyDescent="0.2">
      <c r="A149" s="1239"/>
      <c r="B149" s="1248" t="s">
        <v>1780</v>
      </c>
      <c r="C149" s="1514" t="s">
        <v>1905</v>
      </c>
      <c r="D149" s="1239"/>
    </row>
    <row r="150" spans="1:4" ht="12.75" x14ac:dyDescent="0.2">
      <c r="A150" s="1239"/>
      <c r="B150" s="1248" t="s">
        <v>1781</v>
      </c>
      <c r="C150" s="1514" t="s">
        <v>1905</v>
      </c>
      <c r="D150" s="1239"/>
    </row>
    <row r="151" spans="1:4" ht="12.75" x14ac:dyDescent="0.2">
      <c r="A151" s="1239"/>
      <c r="B151" s="1248" t="s">
        <v>1782</v>
      </c>
      <c r="C151" s="1514" t="s">
        <v>1905</v>
      </c>
      <c r="D151" s="1239"/>
    </row>
    <row r="152" spans="1:4" ht="12.75" x14ac:dyDescent="0.2">
      <c r="A152" s="1239"/>
      <c r="B152" s="1248" t="s">
        <v>1783</v>
      </c>
      <c r="C152" s="1514" t="s">
        <v>1905</v>
      </c>
      <c r="D152" s="1239"/>
    </row>
    <row r="153" spans="1:4" ht="12.75" x14ac:dyDescent="0.2">
      <c r="A153" s="1239"/>
      <c r="B153" s="1248" t="s">
        <v>1784</v>
      </c>
      <c r="C153" s="1514" t="s">
        <v>1905</v>
      </c>
      <c r="D153" s="1239"/>
    </row>
    <row r="154" spans="1:4" ht="12.75" x14ac:dyDescent="0.2">
      <c r="A154" s="1239"/>
      <c r="B154" s="1248" t="s">
        <v>1785</v>
      </c>
      <c r="C154" s="1514" t="s">
        <v>1905</v>
      </c>
      <c r="D154" s="1239"/>
    </row>
    <row r="155" spans="1:4" ht="12.75" x14ac:dyDescent="0.2">
      <c r="A155" s="1239"/>
      <c r="B155" s="1248" t="s">
        <v>1786</v>
      </c>
      <c r="C155" s="1514" t="s">
        <v>1905</v>
      </c>
      <c r="D155" s="1239"/>
    </row>
    <row r="156" spans="1:4" ht="12.75" x14ac:dyDescent="0.2">
      <c r="A156" s="1239"/>
      <c r="B156" s="1248" t="s">
        <v>1787</v>
      </c>
      <c r="C156" s="1514" t="s">
        <v>1905</v>
      </c>
      <c r="D156" s="1239"/>
    </row>
    <row r="157" spans="1:4" ht="12.75" x14ac:dyDescent="0.2">
      <c r="A157" s="1239"/>
      <c r="B157" s="1248" t="s">
        <v>1788</v>
      </c>
      <c r="C157" s="1514" t="s">
        <v>1905</v>
      </c>
      <c r="D157" s="1239"/>
    </row>
    <row r="158" spans="1:4" ht="12.75" x14ac:dyDescent="0.2">
      <c r="A158" s="1239"/>
      <c r="B158" s="1248" t="s">
        <v>1789</v>
      </c>
      <c r="C158" s="1514" t="s">
        <v>1905</v>
      </c>
      <c r="D158" s="1239"/>
    </row>
    <row r="159" spans="1:4" ht="12.75" x14ac:dyDescent="0.2">
      <c r="A159" s="1239"/>
      <c r="B159" s="1248" t="s">
        <v>1790</v>
      </c>
      <c r="C159" s="1514" t="s">
        <v>1905</v>
      </c>
      <c r="D159" s="1239"/>
    </row>
    <row r="160" spans="1:4" ht="12.75" x14ac:dyDescent="0.2">
      <c r="A160" s="1239"/>
      <c r="B160" s="1248" t="s">
        <v>1791</v>
      </c>
      <c r="C160" s="1514" t="s">
        <v>1905</v>
      </c>
      <c r="D160" s="1239"/>
    </row>
    <row r="161" spans="1:4" ht="12.75" x14ac:dyDescent="0.2">
      <c r="A161" s="1239"/>
      <c r="B161" s="1248" t="s">
        <v>1792</v>
      </c>
      <c r="C161" s="1514" t="s">
        <v>1905</v>
      </c>
      <c r="D161" s="1239"/>
    </row>
    <row r="162" spans="1:4" ht="12.75" x14ac:dyDescent="0.2">
      <c r="A162" s="1239"/>
      <c r="B162" s="1248" t="s">
        <v>1793</v>
      </c>
      <c r="C162" s="1514" t="s">
        <v>1905</v>
      </c>
      <c r="D162" s="1239"/>
    </row>
    <row r="163" spans="1:4" ht="12.75" x14ac:dyDescent="0.2">
      <c r="A163" s="1239"/>
      <c r="B163" s="1248" t="s">
        <v>1794</v>
      </c>
      <c r="C163" s="1514" t="s">
        <v>1905</v>
      </c>
      <c r="D163" s="1239"/>
    </row>
    <row r="164" spans="1:4" ht="12.75" x14ac:dyDescent="0.2">
      <c r="A164" s="1239"/>
      <c r="B164" s="1248" t="s">
        <v>1795</v>
      </c>
      <c r="C164" s="1514" t="s">
        <v>1905</v>
      </c>
      <c r="D164" s="1239"/>
    </row>
    <row r="165" spans="1:4" ht="12.75" x14ac:dyDescent="0.2">
      <c r="A165" s="1239"/>
      <c r="B165" s="1248" t="s">
        <v>1796</v>
      </c>
      <c r="C165" s="1514" t="s">
        <v>1905</v>
      </c>
      <c r="D165" s="1239"/>
    </row>
    <row r="166" spans="1:4" ht="12.75" x14ac:dyDescent="0.2">
      <c r="A166" s="1239"/>
      <c r="B166" s="1248" t="s">
        <v>1797</v>
      </c>
      <c r="C166" s="1514" t="s">
        <v>1905</v>
      </c>
      <c r="D166" s="1239"/>
    </row>
    <row r="167" spans="1:4" ht="12.75" x14ac:dyDescent="0.2">
      <c r="A167" s="1239"/>
      <c r="B167" s="1248" t="s">
        <v>1798</v>
      </c>
      <c r="C167" s="1514" t="s">
        <v>1905</v>
      </c>
      <c r="D167" s="1239"/>
    </row>
    <row r="168" spans="1:4" ht="12.75" x14ac:dyDescent="0.2">
      <c r="A168" s="1239"/>
      <c r="B168" s="1248" t="s">
        <v>1799</v>
      </c>
      <c r="C168" s="1514" t="s">
        <v>1905</v>
      </c>
      <c r="D168" s="1239"/>
    </row>
    <row r="169" spans="1:4" ht="12.75" x14ac:dyDescent="0.2">
      <c r="A169" s="1239"/>
      <c r="B169" s="1248" t="s">
        <v>1800</v>
      </c>
      <c r="C169" s="1514" t="s">
        <v>1905</v>
      </c>
      <c r="D169" s="1239"/>
    </row>
    <row r="170" spans="1:4" ht="12.75" x14ac:dyDescent="0.2">
      <c r="A170" s="1239"/>
      <c r="B170" s="1248" t="s">
        <v>1801</v>
      </c>
      <c r="C170" s="1514" t="s">
        <v>1905</v>
      </c>
      <c r="D170" s="1239"/>
    </row>
    <row r="171" spans="1:4" ht="12.75" x14ac:dyDescent="0.2">
      <c r="A171" s="1239"/>
      <c r="B171" s="1248" t="s">
        <v>46</v>
      </c>
      <c r="C171" s="1514" t="s">
        <v>1905</v>
      </c>
      <c r="D171" s="1239"/>
    </row>
    <row r="172" spans="1:4" ht="12.75" x14ac:dyDescent="0.2">
      <c r="A172" s="1239"/>
      <c r="B172" s="1248" t="s">
        <v>47</v>
      </c>
      <c r="C172" s="1514" t="s">
        <v>1905</v>
      </c>
      <c r="D172" s="1239"/>
    </row>
    <row r="173" spans="1:4" ht="12.75" x14ac:dyDescent="0.2">
      <c r="A173" s="1239"/>
      <c r="B173" s="1248" t="s">
        <v>48</v>
      </c>
      <c r="C173" s="1514" t="s">
        <v>1905</v>
      </c>
      <c r="D173" s="1239"/>
    </row>
    <row r="174" spans="1:4" ht="12.75" x14ac:dyDescent="0.2">
      <c r="A174" s="1239"/>
      <c r="B174" s="1248" t="s">
        <v>49</v>
      </c>
      <c r="C174" s="1514" t="s">
        <v>1905</v>
      </c>
      <c r="D174" s="1239"/>
    </row>
    <row r="175" spans="1:4" ht="12.75" x14ac:dyDescent="0.2">
      <c r="A175" s="1239"/>
      <c r="B175" s="1248" t="s">
        <v>50</v>
      </c>
      <c r="C175" s="1514" t="s">
        <v>1905</v>
      </c>
      <c r="D175" s="1239"/>
    </row>
    <row r="176" spans="1:4" ht="12.75" x14ac:dyDescent="0.2">
      <c r="A176" s="1239"/>
      <c r="B176" s="1248" t="s">
        <v>1910</v>
      </c>
      <c r="C176" s="1514" t="s">
        <v>1905</v>
      </c>
      <c r="D176" s="1239"/>
    </row>
    <row r="177" spans="1:4" ht="12.75" x14ac:dyDescent="0.2">
      <c r="A177" s="1239"/>
      <c r="B177" s="1248" t="s">
        <v>51</v>
      </c>
      <c r="C177" s="1514" t="s">
        <v>1905</v>
      </c>
      <c r="D177" s="1239"/>
    </row>
    <row r="178" spans="1:4" ht="12.75" x14ac:dyDescent="0.2">
      <c r="A178" s="1239"/>
      <c r="B178" s="1248" t="s">
        <v>52</v>
      </c>
      <c r="C178" s="1514" t="s">
        <v>1905</v>
      </c>
      <c r="D178" s="1239"/>
    </row>
    <row r="179" spans="1:4" ht="12.75" x14ac:dyDescent="0.2">
      <c r="A179" s="1239"/>
      <c r="B179" s="1248" t="s">
        <v>1911</v>
      </c>
      <c r="C179" s="1514" t="s">
        <v>1905</v>
      </c>
      <c r="D179" s="1239"/>
    </row>
    <row r="180" spans="1:4" ht="12.75" x14ac:dyDescent="0.2">
      <c r="A180" s="1239"/>
      <c r="B180" s="1248" t="s">
        <v>53</v>
      </c>
      <c r="C180" s="1514" t="s">
        <v>1905</v>
      </c>
      <c r="D180" s="1239"/>
    </row>
    <row r="181" spans="1:4" ht="12.75" x14ac:dyDescent="0.2">
      <c r="A181" s="1239"/>
      <c r="B181" s="1248" t="s">
        <v>54</v>
      </c>
      <c r="C181" s="1514" t="s">
        <v>1905</v>
      </c>
      <c r="D181" s="1239"/>
    </row>
    <row r="182" spans="1:4" ht="12.75" x14ac:dyDescent="0.2">
      <c r="A182" s="1239"/>
      <c r="B182" s="1248" t="s">
        <v>1912</v>
      </c>
      <c r="C182" s="1514" t="s">
        <v>1905</v>
      </c>
      <c r="D182" s="1239"/>
    </row>
    <row r="183" spans="1:4" ht="12.75" x14ac:dyDescent="0.2">
      <c r="A183" s="1239"/>
      <c r="B183" s="1248" t="s">
        <v>55</v>
      </c>
      <c r="C183" s="1514" t="s">
        <v>1905</v>
      </c>
      <c r="D183" s="1239"/>
    </row>
    <row r="184" spans="1:4" ht="12.75" x14ac:dyDescent="0.2">
      <c r="A184" s="1239"/>
      <c r="B184" s="1248" t="s">
        <v>56</v>
      </c>
      <c r="C184" s="1514" t="s">
        <v>1905</v>
      </c>
      <c r="D184" s="1239"/>
    </row>
    <row r="185" spans="1:4" ht="12.75" x14ac:dyDescent="0.2">
      <c r="A185" s="1239"/>
      <c r="B185" s="1248" t="s">
        <v>57</v>
      </c>
      <c r="C185" s="1514" t="s">
        <v>1905</v>
      </c>
      <c r="D185" s="1239"/>
    </row>
    <row r="186" spans="1:4" ht="12.75" x14ac:dyDescent="0.2">
      <c r="A186" s="1239"/>
      <c r="B186" s="1248" t="s">
        <v>58</v>
      </c>
      <c r="C186" s="1514" t="s">
        <v>1905</v>
      </c>
      <c r="D186" s="1239"/>
    </row>
    <row r="187" spans="1:4" ht="12.75" x14ac:dyDescent="0.2">
      <c r="A187" s="1239"/>
      <c r="B187" s="1248" t="s">
        <v>59</v>
      </c>
      <c r="C187" s="1514" t="s">
        <v>1905</v>
      </c>
      <c r="D187" s="1239"/>
    </row>
    <row r="188" spans="1:4" ht="12.75" x14ac:dyDescent="0.2">
      <c r="A188" s="1239"/>
      <c r="B188" s="1248" t="s">
        <v>60</v>
      </c>
      <c r="C188" s="1514" t="s">
        <v>1905</v>
      </c>
      <c r="D188" s="1239"/>
    </row>
    <row r="189" spans="1:4" ht="12.75" x14ac:dyDescent="0.2">
      <c r="A189" s="1239"/>
      <c r="B189" s="1248" t="s">
        <v>61</v>
      </c>
      <c r="C189" s="1514" t="s">
        <v>1905</v>
      </c>
      <c r="D189" s="1239"/>
    </row>
    <row r="190" spans="1:4" ht="12.75" x14ac:dyDescent="0.2">
      <c r="A190" s="1239"/>
      <c r="B190" s="1248" t="s">
        <v>62</v>
      </c>
      <c r="C190" s="1514" t="s">
        <v>1905</v>
      </c>
      <c r="D190" s="1239"/>
    </row>
    <row r="191" spans="1:4" ht="12.75" x14ac:dyDescent="0.2">
      <c r="A191" s="1239"/>
      <c r="B191" s="1248" t="s">
        <v>63</v>
      </c>
      <c r="C191" s="1514" t="s">
        <v>1905</v>
      </c>
      <c r="D191" s="1239"/>
    </row>
    <row r="192" spans="1:4" ht="12.75" x14ac:dyDescent="0.2">
      <c r="A192" s="1239"/>
      <c r="B192" s="1248" t="s">
        <v>64</v>
      </c>
      <c r="C192" s="1514" t="s">
        <v>1905</v>
      </c>
      <c r="D192" s="1239"/>
    </row>
    <row r="193" spans="1:4" ht="12.75" x14ac:dyDescent="0.2">
      <c r="A193" s="1239"/>
      <c r="B193" s="1248" t="s">
        <v>65</v>
      </c>
      <c r="C193" s="1514" t="s">
        <v>1905</v>
      </c>
      <c r="D193" s="1239"/>
    </row>
    <row r="194" spans="1:4" ht="12.75" x14ac:dyDescent="0.2">
      <c r="A194" s="1239"/>
      <c r="B194" s="1248" t="s">
        <v>66</v>
      </c>
      <c r="C194" s="1513" t="s">
        <v>1165</v>
      </c>
      <c r="D194" s="1239"/>
    </row>
    <row r="195" spans="1:4" ht="12.75" x14ac:dyDescent="0.2">
      <c r="A195" s="1239"/>
      <c r="B195" s="1248" t="s">
        <v>67</v>
      </c>
      <c r="C195" s="1513" t="s">
        <v>1165</v>
      </c>
      <c r="D195" s="1239"/>
    </row>
    <row r="196" spans="1:4" ht="12.75" x14ac:dyDescent="0.2">
      <c r="A196" s="1239"/>
      <c r="B196" s="1248" t="s">
        <v>68</v>
      </c>
      <c r="C196" s="1513" t="s">
        <v>1165</v>
      </c>
      <c r="D196" s="1239"/>
    </row>
    <row r="197" spans="1:4" ht="12.75" x14ac:dyDescent="0.2">
      <c r="A197" s="1239"/>
      <c r="B197" s="1248" t="s">
        <v>69</v>
      </c>
      <c r="C197" s="1513" t="s">
        <v>1165</v>
      </c>
      <c r="D197" s="1239"/>
    </row>
    <row r="198" spans="1:4" ht="12.75" x14ac:dyDescent="0.2">
      <c r="A198" s="1239"/>
      <c r="B198" s="1248" t="s">
        <v>70</v>
      </c>
      <c r="C198" s="1513" t="s">
        <v>1165</v>
      </c>
      <c r="D198" s="1239"/>
    </row>
    <row r="199" spans="1:4" ht="12.75" x14ac:dyDescent="0.2">
      <c r="A199" s="1239"/>
      <c r="B199" s="1248" t="s">
        <v>71</v>
      </c>
      <c r="C199" s="1513" t="s">
        <v>1165</v>
      </c>
      <c r="D199" s="1239"/>
    </row>
    <row r="200" spans="1:4" ht="12.75" x14ac:dyDescent="0.2">
      <c r="A200" s="1239"/>
      <c r="B200" s="1248" t="s">
        <v>72</v>
      </c>
      <c r="C200" s="1513" t="s">
        <v>1165</v>
      </c>
      <c r="D200" s="1239"/>
    </row>
    <row r="201" spans="1:4" ht="12.75" x14ac:dyDescent="0.2">
      <c r="A201" s="1239"/>
      <c r="B201" s="1248" t="s">
        <v>73</v>
      </c>
      <c r="C201" s="1513" t="s">
        <v>1165</v>
      </c>
      <c r="D201" s="1239"/>
    </row>
    <row r="202" spans="1:4" ht="12.75" x14ac:dyDescent="0.2">
      <c r="A202" s="1239"/>
      <c r="B202" s="1248" t="s">
        <v>74</v>
      </c>
      <c r="C202" s="1513" t="s">
        <v>1165</v>
      </c>
      <c r="D202" s="1239"/>
    </row>
    <row r="203" spans="1:4" ht="12.75" x14ac:dyDescent="0.2">
      <c r="A203" s="1239"/>
      <c r="B203" s="1248" t="s">
        <v>75</v>
      </c>
      <c r="C203" s="1513" t="s">
        <v>1165</v>
      </c>
      <c r="D203" s="1239"/>
    </row>
    <row r="204" spans="1:4" ht="12.75" x14ac:dyDescent="0.2">
      <c r="A204" s="1239"/>
      <c r="B204" s="1248" t="s">
        <v>76</v>
      </c>
      <c r="C204" s="1513" t="s">
        <v>1165</v>
      </c>
      <c r="D204" s="1239"/>
    </row>
    <row r="205" spans="1:4" ht="12.75" x14ac:dyDescent="0.2">
      <c r="A205" s="1239"/>
      <c r="B205" s="1248" t="s">
        <v>77</v>
      </c>
      <c r="C205" s="1513" t="s">
        <v>1165</v>
      </c>
      <c r="D205" s="1239"/>
    </row>
    <row r="206" spans="1:4" ht="12.75" x14ac:dyDescent="0.2">
      <c r="A206" s="1239"/>
      <c r="B206" s="1248" t="s">
        <v>78</v>
      </c>
      <c r="C206" s="1513" t="s">
        <v>1165</v>
      </c>
      <c r="D206" s="1239"/>
    </row>
    <row r="207" spans="1:4" ht="12.75" x14ac:dyDescent="0.2">
      <c r="A207" s="1239"/>
      <c r="B207" s="1248" t="s">
        <v>79</v>
      </c>
      <c r="C207" s="1513" t="s">
        <v>1165</v>
      </c>
      <c r="D207" s="1239"/>
    </row>
    <row r="208" spans="1:4" ht="12.75" x14ac:dyDescent="0.2">
      <c r="A208" s="1239"/>
      <c r="B208" s="1248" t="s">
        <v>80</v>
      </c>
      <c r="C208" s="1513" t="s">
        <v>1165</v>
      </c>
      <c r="D208" s="1239"/>
    </row>
    <row r="209" spans="1:4" ht="12.75" x14ac:dyDescent="0.2">
      <c r="A209" s="1239"/>
      <c r="B209" s="1248" t="s">
        <v>81</v>
      </c>
      <c r="C209" s="1513" t="s">
        <v>1165</v>
      </c>
      <c r="D209" s="1239"/>
    </row>
    <row r="210" spans="1:4" ht="12.75" x14ac:dyDescent="0.2">
      <c r="A210" s="1239"/>
      <c r="B210" s="1248" t="s">
        <v>82</v>
      </c>
      <c r="C210" s="1513" t="s">
        <v>1165</v>
      </c>
      <c r="D210" s="1239"/>
    </row>
    <row r="211" spans="1:4" ht="12.75" x14ac:dyDescent="0.2">
      <c r="A211" s="1239"/>
      <c r="B211" s="1248" t="s">
        <v>83</v>
      </c>
      <c r="C211" s="1513" t="s">
        <v>1165</v>
      </c>
      <c r="D211" s="1239"/>
    </row>
    <row r="212" spans="1:4" ht="12.75" x14ac:dyDescent="0.2">
      <c r="A212" s="1239"/>
      <c r="B212" s="1248" t="s">
        <v>84</v>
      </c>
      <c r="C212" s="1513" t="s">
        <v>1165</v>
      </c>
      <c r="D212" s="1239"/>
    </row>
    <row r="213" spans="1:4" ht="12.75" x14ac:dyDescent="0.2">
      <c r="A213" s="1239"/>
      <c r="B213" s="1248" t="s">
        <v>85</v>
      </c>
      <c r="C213" s="1513" t="s">
        <v>1165</v>
      </c>
      <c r="D213" s="1239"/>
    </row>
    <row r="214" spans="1:4" ht="12.75" x14ac:dyDescent="0.2">
      <c r="A214" s="1239"/>
      <c r="B214" s="1248" t="s">
        <v>1913</v>
      </c>
      <c r="C214" s="1513" t="s">
        <v>1165</v>
      </c>
      <c r="D214" s="1239"/>
    </row>
    <row r="215" spans="1:4" ht="12.75" x14ac:dyDescent="0.2">
      <c r="A215" s="1239"/>
      <c r="B215" s="1248" t="s">
        <v>86</v>
      </c>
      <c r="C215" s="1513" t="s">
        <v>1165</v>
      </c>
      <c r="D215" s="1239"/>
    </row>
    <row r="216" spans="1:4" ht="12.75" x14ac:dyDescent="0.2">
      <c r="A216" s="1239"/>
      <c r="B216" s="1248" t="s">
        <v>1914</v>
      </c>
      <c r="C216" s="1513" t="s">
        <v>1165</v>
      </c>
      <c r="D216" s="1239"/>
    </row>
    <row r="217" spans="1:4" ht="12.75" x14ac:dyDescent="0.2">
      <c r="A217" s="1239"/>
      <c r="B217" s="1248" t="s">
        <v>87</v>
      </c>
      <c r="C217" s="1513" t="s">
        <v>1165</v>
      </c>
      <c r="D217" s="1239"/>
    </row>
    <row r="218" spans="1:4" ht="12.75" x14ac:dyDescent="0.2">
      <c r="A218" s="1239"/>
      <c r="B218" s="1248" t="s">
        <v>88</v>
      </c>
      <c r="C218" s="1513" t="s">
        <v>1165</v>
      </c>
      <c r="D218" s="1239"/>
    </row>
    <row r="219" spans="1:4" ht="12.75" x14ac:dyDescent="0.2">
      <c r="A219" s="1239"/>
      <c r="B219" s="1248" t="s">
        <v>839</v>
      </c>
      <c r="C219" s="1513" t="s">
        <v>1159</v>
      </c>
      <c r="D219" s="1239"/>
    </row>
    <row r="220" spans="1:4" ht="12.75" x14ac:dyDescent="0.2">
      <c r="A220" s="1239"/>
      <c r="B220" s="1248" t="s">
        <v>840</v>
      </c>
      <c r="C220" s="1513" t="s">
        <v>1159</v>
      </c>
      <c r="D220" s="1239"/>
    </row>
    <row r="221" spans="1:4" ht="12.75" x14ac:dyDescent="0.2">
      <c r="A221" s="1239"/>
      <c r="B221" s="1248" t="s">
        <v>841</v>
      </c>
      <c r="C221" s="1513" t="s">
        <v>1159</v>
      </c>
      <c r="D221" s="1239"/>
    </row>
    <row r="222" spans="1:4" ht="12.75" x14ac:dyDescent="0.2">
      <c r="A222" s="1239"/>
      <c r="B222" s="1248" t="s">
        <v>1915</v>
      </c>
      <c r="C222" s="1513" t="s">
        <v>1159</v>
      </c>
      <c r="D222" s="1239"/>
    </row>
    <row r="223" spans="1:4" ht="12.75" x14ac:dyDescent="0.2">
      <c r="A223" s="1239"/>
      <c r="B223" s="1248" t="s">
        <v>842</v>
      </c>
      <c r="C223" s="1513" t="s">
        <v>1159</v>
      </c>
      <c r="D223" s="1239"/>
    </row>
    <row r="224" spans="1:4" ht="12.75" x14ac:dyDescent="0.2">
      <c r="A224" s="1239"/>
      <c r="B224" s="1248" t="s">
        <v>843</v>
      </c>
      <c r="C224" s="1513" t="s">
        <v>1159</v>
      </c>
      <c r="D224" s="1239"/>
    </row>
    <row r="225" spans="1:4" ht="12.75" x14ac:dyDescent="0.2">
      <c r="A225" s="1239"/>
      <c r="B225" s="1248" t="s">
        <v>844</v>
      </c>
      <c r="C225" s="1513" t="s">
        <v>1159</v>
      </c>
      <c r="D225" s="1239"/>
    </row>
    <row r="226" spans="1:4" ht="12.75" x14ac:dyDescent="0.2">
      <c r="A226" s="1239"/>
      <c r="B226" s="1248" t="s">
        <v>1916</v>
      </c>
      <c r="C226" s="1513" t="s">
        <v>1159</v>
      </c>
      <c r="D226" s="1239"/>
    </row>
    <row r="227" spans="1:4" ht="12.75" x14ac:dyDescent="0.2">
      <c r="A227" s="1239"/>
      <c r="B227" s="1248" t="s">
        <v>1977</v>
      </c>
      <c r="C227" s="1513" t="s">
        <v>1159</v>
      </c>
      <c r="D227" s="1239"/>
    </row>
    <row r="228" spans="1:4" ht="12.75" x14ac:dyDescent="0.2">
      <c r="A228" s="1239"/>
      <c r="B228" s="1248" t="s">
        <v>845</v>
      </c>
      <c r="C228" s="1513" t="s">
        <v>1159</v>
      </c>
      <c r="D228" s="1239"/>
    </row>
    <row r="229" spans="1:4" ht="12.75" x14ac:dyDescent="0.2">
      <c r="A229" s="1239"/>
      <c r="B229" s="1248" t="s">
        <v>846</v>
      </c>
      <c r="C229" s="1513" t="s">
        <v>1159</v>
      </c>
      <c r="D229" s="1239"/>
    </row>
    <row r="230" spans="1:4" ht="12.75" x14ac:dyDescent="0.2">
      <c r="A230" s="1239"/>
      <c r="B230" s="1248" t="s">
        <v>1978</v>
      </c>
      <c r="C230" s="1513" t="s">
        <v>1159</v>
      </c>
      <c r="D230" s="1239"/>
    </row>
    <row r="231" spans="1:4" ht="12.75" x14ac:dyDescent="0.2">
      <c r="A231" s="1239"/>
      <c r="B231" s="1248" t="s">
        <v>89</v>
      </c>
      <c r="C231" s="1513" t="s">
        <v>1159</v>
      </c>
      <c r="D231" s="1239"/>
    </row>
    <row r="232" spans="1:4" ht="12.75" x14ac:dyDescent="0.2">
      <c r="A232" s="1239"/>
      <c r="B232" s="1248" t="s">
        <v>847</v>
      </c>
      <c r="C232" s="1513" t="s">
        <v>1159</v>
      </c>
      <c r="D232" s="1239"/>
    </row>
    <row r="233" spans="1:4" ht="12.75" x14ac:dyDescent="0.2">
      <c r="A233" s="1239"/>
      <c r="B233" s="1248" t="s">
        <v>848</v>
      </c>
      <c r="C233" s="1513" t="s">
        <v>1159</v>
      </c>
      <c r="D233" s="1239"/>
    </row>
    <row r="234" spans="1:4" ht="12.75" x14ac:dyDescent="0.2">
      <c r="A234" s="1239"/>
      <c r="B234" s="1248" t="s">
        <v>849</v>
      </c>
      <c r="C234" s="1513" t="s">
        <v>1159</v>
      </c>
      <c r="D234" s="1239"/>
    </row>
    <row r="235" spans="1:4" ht="12.75" x14ac:dyDescent="0.2">
      <c r="A235" s="1239"/>
      <c r="B235" s="1248" t="s">
        <v>850</v>
      </c>
      <c r="C235" s="1513" t="s">
        <v>1159</v>
      </c>
      <c r="D235" s="1239"/>
    </row>
    <row r="236" spans="1:4" ht="12.75" x14ac:dyDescent="0.2">
      <c r="A236" s="1239"/>
      <c r="B236" s="1248" t="s">
        <v>851</v>
      </c>
      <c r="C236" s="1513" t="s">
        <v>1159</v>
      </c>
      <c r="D236" s="1239"/>
    </row>
    <row r="237" spans="1:4" ht="12.75" x14ac:dyDescent="0.2">
      <c r="A237" s="1239"/>
      <c r="B237" s="1248" t="s">
        <v>852</v>
      </c>
      <c r="C237" s="1513" t="s">
        <v>1189</v>
      </c>
      <c r="D237" s="1239"/>
    </row>
    <row r="238" spans="1:4" ht="12.75" x14ac:dyDescent="0.2">
      <c r="A238" s="1239"/>
      <c r="B238" s="1248" t="s">
        <v>853</v>
      </c>
      <c r="C238" s="1513" t="s">
        <v>1189</v>
      </c>
      <c r="D238" s="1239"/>
    </row>
    <row r="239" spans="1:4" ht="12.75" x14ac:dyDescent="0.2">
      <c r="A239" s="1239"/>
      <c r="B239" s="1248" t="s">
        <v>854</v>
      </c>
      <c r="C239" s="1513" t="s">
        <v>1189</v>
      </c>
      <c r="D239" s="1239"/>
    </row>
    <row r="240" spans="1:4" ht="12.75" x14ac:dyDescent="0.2">
      <c r="A240" s="1239"/>
      <c r="B240" s="1248" t="s">
        <v>855</v>
      </c>
      <c r="C240" s="1513" t="s">
        <v>1189</v>
      </c>
      <c r="D240" s="1239"/>
    </row>
    <row r="241" spans="1:4" ht="12.75" x14ac:dyDescent="0.2">
      <c r="A241" s="1239"/>
      <c r="B241" s="1248" t="s">
        <v>856</v>
      </c>
      <c r="C241" s="1513" t="s">
        <v>1189</v>
      </c>
      <c r="D241" s="1239"/>
    </row>
    <row r="242" spans="1:4" ht="12.75" x14ac:dyDescent="0.2">
      <c r="A242" s="1239"/>
      <c r="B242" s="1248" t="s">
        <v>857</v>
      </c>
      <c r="C242" s="1513" t="s">
        <v>1189</v>
      </c>
      <c r="D242" s="1239"/>
    </row>
    <row r="243" spans="1:4" ht="12.75" x14ac:dyDescent="0.2">
      <c r="A243" s="1239"/>
      <c r="B243" s="1248" t="s">
        <v>1277</v>
      </c>
      <c r="C243" s="1513" t="s">
        <v>1189</v>
      </c>
      <c r="D243" s="1239"/>
    </row>
    <row r="244" spans="1:4" ht="12.75" x14ac:dyDescent="0.2">
      <c r="A244" s="1239"/>
      <c r="B244" s="1248" t="s">
        <v>1278</v>
      </c>
      <c r="C244" s="1513" t="s">
        <v>1189</v>
      </c>
      <c r="D244" s="1239"/>
    </row>
    <row r="245" spans="1:4" ht="12.75" x14ac:dyDescent="0.2">
      <c r="A245" s="1239"/>
      <c r="B245" s="1248" t="s">
        <v>1279</v>
      </c>
      <c r="C245" s="1513" t="s">
        <v>1189</v>
      </c>
      <c r="D245" s="1239"/>
    </row>
    <row r="246" spans="1:4" ht="12.75" x14ac:dyDescent="0.2">
      <c r="A246" s="1239"/>
      <c r="B246" s="1248" t="s">
        <v>1280</v>
      </c>
      <c r="C246" s="1513" t="s">
        <v>1189</v>
      </c>
      <c r="D246" s="1239"/>
    </row>
    <row r="247" spans="1:4" ht="12.75" x14ac:dyDescent="0.2">
      <c r="A247" s="1239"/>
      <c r="B247" s="1248" t="s">
        <v>1281</v>
      </c>
      <c r="C247" s="1513" t="s">
        <v>1189</v>
      </c>
      <c r="D247" s="1239"/>
    </row>
    <row r="248" spans="1:4" ht="12.75" x14ac:dyDescent="0.2">
      <c r="A248" s="1239"/>
      <c r="B248" s="1248" t="s">
        <v>1282</v>
      </c>
      <c r="C248" s="1513" t="s">
        <v>1189</v>
      </c>
      <c r="D248" s="1239"/>
    </row>
    <row r="249" spans="1:4" ht="12.75" x14ac:dyDescent="0.2">
      <c r="A249" s="1239"/>
      <c r="B249" s="1248" t="s">
        <v>246</v>
      </c>
      <c r="C249" s="1513" t="s">
        <v>1189</v>
      </c>
      <c r="D249" s="1239"/>
    </row>
    <row r="250" spans="1:4" ht="12.75" x14ac:dyDescent="0.2">
      <c r="A250" s="1239"/>
      <c r="B250" s="1248" t="s">
        <v>247</v>
      </c>
      <c r="C250" s="1513" t="s">
        <v>1189</v>
      </c>
      <c r="D250" s="1239"/>
    </row>
    <row r="251" spans="1:4" ht="12.75" x14ac:dyDescent="0.2">
      <c r="A251" s="1239"/>
      <c r="B251" s="1248" t="s">
        <v>248</v>
      </c>
      <c r="C251" s="1513" t="s">
        <v>1189</v>
      </c>
      <c r="D251" s="1239"/>
    </row>
    <row r="252" spans="1:4" ht="12.75" x14ac:dyDescent="0.2">
      <c r="A252" s="1239"/>
      <c r="B252" s="1248" t="s">
        <v>249</v>
      </c>
      <c r="C252" s="1513" t="s">
        <v>1189</v>
      </c>
      <c r="D252" s="1239"/>
    </row>
    <row r="253" spans="1:4" ht="12.75" x14ac:dyDescent="0.2">
      <c r="A253" s="1239"/>
      <c r="B253" s="1248" t="s">
        <v>250</v>
      </c>
      <c r="C253" s="1513" t="s">
        <v>1189</v>
      </c>
      <c r="D253" s="1239"/>
    </row>
    <row r="254" spans="1:4" ht="12.75" x14ac:dyDescent="0.2">
      <c r="A254" s="1239"/>
      <c r="B254" s="1248" t="s">
        <v>251</v>
      </c>
      <c r="C254" s="1513" t="s">
        <v>1189</v>
      </c>
      <c r="D254" s="1239"/>
    </row>
    <row r="255" spans="1:4" ht="12.75" x14ac:dyDescent="0.2">
      <c r="A255" s="1239"/>
      <c r="B255" s="1248" t="s">
        <v>252</v>
      </c>
      <c r="C255" s="1513" t="s">
        <v>1189</v>
      </c>
      <c r="D255" s="1239"/>
    </row>
    <row r="256" spans="1:4" ht="12.75" x14ac:dyDescent="0.2">
      <c r="A256" s="1239"/>
      <c r="B256" s="1248" t="s">
        <v>253</v>
      </c>
      <c r="C256" s="1513" t="s">
        <v>1189</v>
      </c>
      <c r="D256" s="1239"/>
    </row>
    <row r="257" spans="1:4" ht="12.75" x14ac:dyDescent="0.2">
      <c r="A257" s="1239"/>
      <c r="B257" s="1248" t="s">
        <v>254</v>
      </c>
      <c r="C257" s="1513" t="s">
        <v>1189</v>
      </c>
      <c r="D257" s="1239"/>
    </row>
    <row r="258" spans="1:4" ht="12.75" x14ac:dyDescent="0.2">
      <c r="A258" s="1239"/>
      <c r="B258" s="1248" t="s">
        <v>255</v>
      </c>
      <c r="C258" s="1513" t="s">
        <v>1189</v>
      </c>
      <c r="D258" s="1239"/>
    </row>
    <row r="259" spans="1:4" ht="12.75" x14ac:dyDescent="0.2">
      <c r="A259" s="1239"/>
      <c r="B259" s="1248" t="s">
        <v>256</v>
      </c>
      <c r="C259" s="1513" t="s">
        <v>1189</v>
      </c>
      <c r="D259" s="1239"/>
    </row>
    <row r="260" spans="1:4" ht="12.75" x14ac:dyDescent="0.2">
      <c r="A260" s="1239"/>
      <c r="B260" s="1248" t="s">
        <v>257</v>
      </c>
      <c r="C260" s="1513" t="s">
        <v>1189</v>
      </c>
      <c r="D260" s="1239"/>
    </row>
    <row r="261" spans="1:4" ht="12.75" x14ac:dyDescent="0.2">
      <c r="A261" s="1239"/>
      <c r="B261" s="1248" t="s">
        <v>1917</v>
      </c>
      <c r="C261" s="1513" t="s">
        <v>1189</v>
      </c>
      <c r="D261" s="1239"/>
    </row>
    <row r="262" spans="1:4" ht="12.75" x14ac:dyDescent="0.2">
      <c r="A262" s="1239"/>
      <c r="B262" s="1248" t="s">
        <v>258</v>
      </c>
      <c r="C262" s="1513" t="s">
        <v>1189</v>
      </c>
      <c r="D262" s="1239"/>
    </row>
    <row r="263" spans="1:4" ht="12.75" x14ac:dyDescent="0.2">
      <c r="A263" s="1239"/>
      <c r="B263" s="1248" t="s">
        <v>259</v>
      </c>
      <c r="C263" s="1513" t="s">
        <v>1189</v>
      </c>
      <c r="D263" s="1239"/>
    </row>
    <row r="264" spans="1:4" ht="12.75" x14ac:dyDescent="0.2">
      <c r="A264" s="1239"/>
      <c r="B264" s="1248" t="s">
        <v>260</v>
      </c>
      <c r="C264" s="1513" t="s">
        <v>1172</v>
      </c>
      <c r="D264" s="1239"/>
    </row>
    <row r="265" spans="1:4" ht="12.75" x14ac:dyDescent="0.2">
      <c r="A265" s="1239"/>
      <c r="B265" s="1248" t="s">
        <v>261</v>
      </c>
      <c r="C265" s="1513" t="s">
        <v>1172</v>
      </c>
      <c r="D265" s="1239"/>
    </row>
    <row r="266" spans="1:4" ht="12.75" x14ac:dyDescent="0.2">
      <c r="A266" s="1239"/>
      <c r="B266" s="1248" t="s">
        <v>262</v>
      </c>
      <c r="C266" s="1513" t="s">
        <v>1172</v>
      </c>
      <c r="D266" s="1239"/>
    </row>
    <row r="267" spans="1:4" ht="12.75" x14ac:dyDescent="0.2">
      <c r="A267" s="1239"/>
      <c r="B267" s="1248" t="s">
        <v>263</v>
      </c>
      <c r="C267" s="1513" t="s">
        <v>1172</v>
      </c>
      <c r="D267" s="1239"/>
    </row>
    <row r="268" spans="1:4" ht="12.75" x14ac:dyDescent="0.2">
      <c r="A268" s="1239"/>
      <c r="B268" s="1248" t="s">
        <v>206</v>
      </c>
      <c r="C268" s="1513" t="s">
        <v>1172</v>
      </c>
      <c r="D268" s="1239"/>
    </row>
    <row r="269" spans="1:4" ht="12.75" x14ac:dyDescent="0.2">
      <c r="A269" s="1239"/>
      <c r="B269" s="1248" t="s">
        <v>207</v>
      </c>
      <c r="C269" s="1513" t="s">
        <v>1172</v>
      </c>
      <c r="D269" s="1239"/>
    </row>
    <row r="270" spans="1:4" ht="12.75" x14ac:dyDescent="0.2">
      <c r="A270" s="1239"/>
      <c r="B270" s="1248" t="s">
        <v>208</v>
      </c>
      <c r="C270" s="1513" t="s">
        <v>1172</v>
      </c>
      <c r="D270" s="1239"/>
    </row>
    <row r="271" spans="1:4" ht="12.75" x14ac:dyDescent="0.2">
      <c r="A271" s="1239"/>
      <c r="B271" s="1248" t="s">
        <v>209</v>
      </c>
      <c r="C271" s="1513" t="s">
        <v>1172</v>
      </c>
      <c r="D271" s="1239"/>
    </row>
    <row r="272" spans="1:4" ht="12.75" x14ac:dyDescent="0.2">
      <c r="A272" s="1239"/>
      <c r="B272" s="1248" t="s">
        <v>210</v>
      </c>
      <c r="C272" s="1513" t="s">
        <v>1172</v>
      </c>
      <c r="D272" s="1239"/>
    </row>
    <row r="273" spans="1:4" ht="12.75" x14ac:dyDescent="0.2">
      <c r="A273" s="1239"/>
      <c r="B273" s="1248" t="s">
        <v>211</v>
      </c>
      <c r="C273" s="1513" t="s">
        <v>1172</v>
      </c>
      <c r="D273" s="1239"/>
    </row>
    <row r="274" spans="1:4" ht="12.75" x14ac:dyDescent="0.2">
      <c r="A274" s="1239"/>
      <c r="B274" s="1248" t="s">
        <v>212</v>
      </c>
      <c r="C274" s="1513" t="s">
        <v>1172</v>
      </c>
      <c r="D274" s="1239"/>
    </row>
    <row r="275" spans="1:4" ht="12.75" x14ac:dyDescent="0.2">
      <c r="A275" s="1239"/>
      <c r="B275" s="1248" t="s">
        <v>213</v>
      </c>
      <c r="C275" s="1513" t="s">
        <v>1172</v>
      </c>
      <c r="D275" s="1239"/>
    </row>
    <row r="276" spans="1:4" ht="12.75" x14ac:dyDescent="0.2">
      <c r="A276" s="1239"/>
      <c r="B276" s="1248" t="s">
        <v>214</v>
      </c>
      <c r="C276" s="1513" t="s">
        <v>1172</v>
      </c>
      <c r="D276" s="1239"/>
    </row>
    <row r="277" spans="1:4" ht="12.75" x14ac:dyDescent="0.2">
      <c r="A277" s="1239"/>
      <c r="B277" s="1248" t="s">
        <v>215</v>
      </c>
      <c r="C277" s="1513" t="s">
        <v>1172</v>
      </c>
      <c r="D277" s="1239"/>
    </row>
    <row r="278" spans="1:4" ht="12.75" x14ac:dyDescent="0.2">
      <c r="A278" s="1239"/>
      <c r="B278" s="1248" t="s">
        <v>1979</v>
      </c>
      <c r="C278" s="1513" t="s">
        <v>1172</v>
      </c>
      <c r="D278" s="1239"/>
    </row>
    <row r="279" spans="1:4" ht="12.75" x14ac:dyDescent="0.2">
      <c r="A279" s="1239"/>
      <c r="B279" s="1248" t="s">
        <v>216</v>
      </c>
      <c r="C279" s="1513" t="s">
        <v>1172</v>
      </c>
      <c r="D279" s="1239"/>
    </row>
    <row r="280" spans="1:4" ht="12.75" x14ac:dyDescent="0.2">
      <c r="A280" s="1239"/>
      <c r="B280" s="1248" t="s">
        <v>217</v>
      </c>
      <c r="C280" s="1513" t="s">
        <v>1172</v>
      </c>
      <c r="D280" s="1239"/>
    </row>
    <row r="281" spans="1:4" ht="12.75" x14ac:dyDescent="0.2">
      <c r="A281" s="1239"/>
      <c r="B281" s="1248" t="s">
        <v>90</v>
      </c>
      <c r="C281" s="1513" t="s">
        <v>1172</v>
      </c>
      <c r="D281" s="1239"/>
    </row>
    <row r="282" spans="1:4" ht="12.75" x14ac:dyDescent="0.2">
      <c r="A282" s="1239"/>
      <c r="B282" s="1248" t="s">
        <v>218</v>
      </c>
      <c r="C282" s="1513" t="s">
        <v>1172</v>
      </c>
      <c r="D282" s="1239"/>
    </row>
    <row r="283" spans="1:4" ht="12.75" x14ac:dyDescent="0.2">
      <c r="A283" s="1239"/>
      <c r="B283" s="1248" t="s">
        <v>1918</v>
      </c>
      <c r="C283" s="1513" t="s">
        <v>1036</v>
      </c>
      <c r="D283" s="1239"/>
    </row>
    <row r="284" spans="1:4" ht="12.75" x14ac:dyDescent="0.2">
      <c r="A284" s="1239"/>
      <c r="B284" s="1248" t="s">
        <v>219</v>
      </c>
      <c r="C284" s="1513" t="s">
        <v>1036</v>
      </c>
      <c r="D284" s="1239"/>
    </row>
    <row r="285" spans="1:4" ht="12.75" x14ac:dyDescent="0.2">
      <c r="A285" s="1239"/>
      <c r="B285" s="1248" t="s">
        <v>220</v>
      </c>
      <c r="C285" s="1513" t="s">
        <v>1036</v>
      </c>
      <c r="D285" s="1239"/>
    </row>
    <row r="286" spans="1:4" ht="12.75" x14ac:dyDescent="0.2">
      <c r="A286" s="1239"/>
      <c r="B286" s="1248" t="s">
        <v>221</v>
      </c>
      <c r="C286" s="1513" t="s">
        <v>1036</v>
      </c>
      <c r="D286" s="1239"/>
    </row>
    <row r="287" spans="1:4" ht="12.75" x14ac:dyDescent="0.2">
      <c r="A287" s="1239"/>
      <c r="B287" s="1248" t="s">
        <v>222</v>
      </c>
      <c r="C287" s="1513" t="s">
        <v>1036</v>
      </c>
      <c r="D287" s="1239"/>
    </row>
    <row r="288" spans="1:4" ht="12.75" x14ac:dyDescent="0.2">
      <c r="A288" s="1239"/>
      <c r="B288" s="1248" t="s">
        <v>223</v>
      </c>
      <c r="C288" s="1513" t="s">
        <v>1036</v>
      </c>
      <c r="D288" s="1239"/>
    </row>
    <row r="289" spans="1:4" ht="12.75" x14ac:dyDescent="0.2">
      <c r="A289" s="1239"/>
      <c r="B289" s="1248" t="s">
        <v>224</v>
      </c>
      <c r="C289" s="1513" t="s">
        <v>1036</v>
      </c>
      <c r="D289" s="1239"/>
    </row>
    <row r="290" spans="1:4" ht="12.75" x14ac:dyDescent="0.2">
      <c r="A290" s="1239"/>
      <c r="B290" s="1248" t="s">
        <v>225</v>
      </c>
      <c r="C290" s="1513" t="s">
        <v>1036</v>
      </c>
      <c r="D290" s="1239"/>
    </row>
    <row r="291" spans="1:4" ht="12.75" x14ac:dyDescent="0.2">
      <c r="A291" s="1239"/>
      <c r="B291" s="1248" t="s">
        <v>226</v>
      </c>
      <c r="C291" s="1513" t="s">
        <v>1036</v>
      </c>
      <c r="D291" s="1239"/>
    </row>
    <row r="292" spans="1:4" ht="12.75" x14ac:dyDescent="0.2">
      <c r="A292" s="1239"/>
      <c r="B292" s="1248" t="s">
        <v>227</v>
      </c>
      <c r="C292" s="1513" t="s">
        <v>1036</v>
      </c>
      <c r="D292" s="1239"/>
    </row>
    <row r="293" spans="1:4" ht="12.75" x14ac:dyDescent="0.2">
      <c r="A293" s="1239"/>
      <c r="B293" s="1248" t="s">
        <v>1919</v>
      </c>
      <c r="C293" s="1513" t="s">
        <v>1036</v>
      </c>
      <c r="D293" s="1239"/>
    </row>
    <row r="294" spans="1:4" ht="12.75" x14ac:dyDescent="0.2">
      <c r="A294" s="1239"/>
      <c r="B294" s="1248" t="s">
        <v>228</v>
      </c>
      <c r="C294" s="1513" t="s">
        <v>1036</v>
      </c>
      <c r="D294" s="1239"/>
    </row>
    <row r="295" spans="1:4" ht="12.75" x14ac:dyDescent="0.2">
      <c r="A295" s="1239"/>
      <c r="B295" s="1248" t="s">
        <v>229</v>
      </c>
      <c r="C295" s="1513" t="s">
        <v>1036</v>
      </c>
      <c r="D295" s="1239"/>
    </row>
    <row r="296" spans="1:4" ht="12.75" x14ac:dyDescent="0.2">
      <c r="A296" s="1239"/>
      <c r="B296" s="1248" t="s">
        <v>230</v>
      </c>
      <c r="C296" s="1513" t="s">
        <v>1036</v>
      </c>
      <c r="D296" s="1239"/>
    </row>
    <row r="297" spans="1:4" ht="12.75" x14ac:dyDescent="0.2">
      <c r="A297" s="1239"/>
      <c r="B297" s="1248" t="s">
        <v>231</v>
      </c>
      <c r="C297" s="1513" t="s">
        <v>1036</v>
      </c>
      <c r="D297" s="1239"/>
    </row>
    <row r="298" spans="1:4" ht="12.75" x14ac:dyDescent="0.2">
      <c r="A298" s="1239"/>
      <c r="B298" s="1248" t="s">
        <v>232</v>
      </c>
      <c r="C298" s="1513" t="s">
        <v>1036</v>
      </c>
      <c r="D298" s="1239"/>
    </row>
    <row r="299" spans="1:4" ht="12.75" x14ac:dyDescent="0.2">
      <c r="A299" s="1239"/>
      <c r="B299" s="1248" t="s">
        <v>233</v>
      </c>
      <c r="C299" s="1513" t="s">
        <v>1036</v>
      </c>
      <c r="D299" s="1239"/>
    </row>
    <row r="300" spans="1:4" ht="12.75" x14ac:dyDescent="0.2">
      <c r="A300" s="1239"/>
      <c r="B300" s="1248" t="s">
        <v>234</v>
      </c>
      <c r="C300" s="1513" t="s">
        <v>1036</v>
      </c>
      <c r="D300" s="1239"/>
    </row>
    <row r="301" spans="1:4" ht="12.75" x14ac:dyDescent="0.2">
      <c r="A301" s="1239"/>
      <c r="B301" s="1248" t="s">
        <v>235</v>
      </c>
      <c r="C301" s="1513" t="s">
        <v>1036</v>
      </c>
      <c r="D301" s="1239"/>
    </row>
    <row r="302" spans="1:4" ht="12.75" x14ac:dyDescent="0.2">
      <c r="A302" s="1239"/>
      <c r="B302" s="1248" t="s">
        <v>236</v>
      </c>
      <c r="C302" s="1513" t="s">
        <v>1036</v>
      </c>
      <c r="D302" s="1239"/>
    </row>
    <row r="303" spans="1:4" ht="12.75" x14ac:dyDescent="0.2">
      <c r="A303" s="1239"/>
      <c r="B303" s="1248" t="s">
        <v>237</v>
      </c>
      <c r="C303" s="1513" t="s">
        <v>1036</v>
      </c>
      <c r="D303" s="1239"/>
    </row>
    <row r="304" spans="1:4" ht="12.75" x14ac:dyDescent="0.2">
      <c r="A304" s="1239"/>
      <c r="B304" s="1248" t="s">
        <v>238</v>
      </c>
      <c r="C304" s="1513" t="s">
        <v>1036</v>
      </c>
      <c r="D304" s="1239"/>
    </row>
    <row r="305" spans="1:4" ht="12.75" x14ac:dyDescent="0.2">
      <c r="A305" s="1239"/>
      <c r="B305" s="1248" t="s">
        <v>239</v>
      </c>
      <c r="C305" s="1513" t="s">
        <v>1036</v>
      </c>
      <c r="D305" s="1239"/>
    </row>
    <row r="306" spans="1:4" ht="12.75" x14ac:dyDescent="0.2">
      <c r="A306" s="1239"/>
      <c r="B306" s="1248" t="s">
        <v>240</v>
      </c>
      <c r="C306" s="1513" t="s">
        <v>1036</v>
      </c>
      <c r="D306" s="1239"/>
    </row>
    <row r="307" spans="1:4" ht="12.75" x14ac:dyDescent="0.2">
      <c r="A307" s="1239"/>
      <c r="B307" s="1248" t="s">
        <v>241</v>
      </c>
      <c r="C307" s="1513" t="s">
        <v>1036</v>
      </c>
      <c r="D307" s="1239"/>
    </row>
    <row r="308" spans="1:4" x14ac:dyDescent="0.2">
      <c r="B308" s="2">
        <f>COUNTA(B30:B307)</f>
        <v>278</v>
      </c>
    </row>
  </sheetData>
  <phoneticPr fontId="4" type="noConversion"/>
  <pageMargins left="0.75" right="0.75" top="1" bottom="1" header="0.5" footer="0.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enableFormatConditionsCalculation="0">
    <tabColor indexed="42"/>
    <pageSetUpPr fitToPage="1"/>
  </sheetPr>
  <dimension ref="A1:V91"/>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2.2851562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22" ht="13.5" customHeight="1" x14ac:dyDescent="0.25">
      <c r="A1" s="146" t="s">
        <v>2541</v>
      </c>
      <c r="B1" s="146"/>
      <c r="C1" s="1997"/>
      <c r="D1" s="1997"/>
      <c r="E1" s="1997"/>
      <c r="F1" s="1997"/>
      <c r="G1" s="1997"/>
      <c r="H1" s="1997"/>
      <c r="I1" s="1997"/>
      <c r="J1" s="1997"/>
      <c r="K1" s="1997"/>
    </row>
    <row r="2" spans="1:22" ht="28.5" customHeight="1" x14ac:dyDescent="0.25">
      <c r="A2" s="786" t="s">
        <v>775</v>
      </c>
      <c r="B2" s="379" t="s">
        <v>429</v>
      </c>
      <c r="C2" s="149" t="s">
        <v>2478</v>
      </c>
      <c r="D2" s="634" t="s">
        <v>2479</v>
      </c>
      <c r="E2" s="1996" t="s">
        <v>2480</v>
      </c>
      <c r="F2" s="2700" t="s">
        <v>2481</v>
      </c>
      <c r="G2" s="2701"/>
      <c r="H2" s="2705"/>
      <c r="I2" s="2697" t="s">
        <v>2482</v>
      </c>
      <c r="J2" s="2698"/>
      <c r="K2" s="2699"/>
    </row>
    <row r="3" spans="1:22" ht="25.5" x14ac:dyDescent="0.25">
      <c r="A3" s="179" t="s">
        <v>667</v>
      </c>
      <c r="B3" s="791"/>
      <c r="C3" s="2009" t="s">
        <v>1065</v>
      </c>
      <c r="D3" s="2016" t="s">
        <v>1065</v>
      </c>
      <c r="E3" s="354" t="s">
        <v>1065</v>
      </c>
      <c r="F3" s="2004" t="s">
        <v>467</v>
      </c>
      <c r="G3" s="2009" t="s">
        <v>1807</v>
      </c>
      <c r="H3" s="354" t="s">
        <v>1808</v>
      </c>
      <c r="I3" s="2004" t="s">
        <v>2483</v>
      </c>
      <c r="J3" s="2009" t="s">
        <v>2484</v>
      </c>
      <c r="K3" s="354" t="s">
        <v>2485</v>
      </c>
    </row>
    <row r="4" spans="1:22" ht="11.25" customHeight="1" x14ac:dyDescent="0.25">
      <c r="A4" s="244" t="s">
        <v>310</v>
      </c>
      <c r="B4" s="181" t="s">
        <v>520</v>
      </c>
      <c r="C4" s="640"/>
      <c r="D4" s="640"/>
      <c r="E4" s="2493"/>
      <c r="F4" s="2494"/>
      <c r="G4" s="640"/>
      <c r="H4" s="2495"/>
      <c r="I4" s="2496"/>
      <c r="J4" s="640"/>
      <c r="K4" s="2493"/>
    </row>
    <row r="5" spans="1:22" ht="11.25" customHeight="1" x14ac:dyDescent="0.25">
      <c r="A5" s="341" t="s">
        <v>1029</v>
      </c>
      <c r="B5" s="181"/>
      <c r="C5" s="640"/>
      <c r="D5" s="640"/>
      <c r="E5" s="2493"/>
      <c r="F5" s="2494"/>
      <c r="G5" s="640"/>
      <c r="H5" s="2495"/>
      <c r="I5" s="2496"/>
      <c r="J5" s="640"/>
      <c r="K5" s="2493"/>
    </row>
    <row r="6" spans="1:22" ht="11.25" customHeight="1" x14ac:dyDescent="0.25">
      <c r="A6" s="336" t="s">
        <v>1229</v>
      </c>
      <c r="B6" s="181"/>
      <c r="C6" s="2536">
        <v>73659.019999999597</v>
      </c>
      <c r="D6" s="2536">
        <v>0</v>
      </c>
      <c r="E6" s="2537">
        <v>0</v>
      </c>
      <c r="F6" s="2538">
        <v>0</v>
      </c>
      <c r="G6" s="2536">
        <v>314112</v>
      </c>
      <c r="H6" s="2537">
        <v>314112</v>
      </c>
      <c r="I6" s="2539">
        <v>314112</v>
      </c>
      <c r="J6" s="2536">
        <v>314112</v>
      </c>
      <c r="K6" s="2540">
        <v>314112</v>
      </c>
    </row>
    <row r="7" spans="1:22" ht="11.25" customHeight="1" x14ac:dyDescent="0.25">
      <c r="A7" s="336" t="s">
        <v>1230</v>
      </c>
      <c r="B7" s="181"/>
      <c r="C7" s="2536">
        <v>9873128.3000000007</v>
      </c>
      <c r="D7" s="2536">
        <v>12718189.939999999</v>
      </c>
      <c r="E7" s="2537">
        <v>16160831</v>
      </c>
      <c r="F7" s="2538">
        <v>0</v>
      </c>
      <c r="G7" s="2536">
        <v>17898000</v>
      </c>
      <c r="H7" s="2537">
        <v>17898000</v>
      </c>
      <c r="I7" s="2539">
        <v>20035000</v>
      </c>
      <c r="J7" s="2536">
        <v>21841800</v>
      </c>
      <c r="K7" s="2540">
        <v>23446708</v>
      </c>
    </row>
    <row r="8" spans="1:22" ht="11.25" customHeight="1" x14ac:dyDescent="0.25">
      <c r="A8" s="638" t="s">
        <v>1228</v>
      </c>
      <c r="B8" s="181"/>
      <c r="C8" s="639">
        <v>9946787.3200000003</v>
      </c>
      <c r="D8" s="639">
        <v>12718189.939999999</v>
      </c>
      <c r="E8" s="2541">
        <v>15846719</v>
      </c>
      <c r="F8" s="2542">
        <v>0</v>
      </c>
      <c r="G8" s="639">
        <v>17898000</v>
      </c>
      <c r="H8" s="2543">
        <v>17898000</v>
      </c>
      <c r="I8" s="2544">
        <v>20035000</v>
      </c>
      <c r="J8" s="639">
        <v>21841800</v>
      </c>
      <c r="K8" s="2541">
        <v>23446708</v>
      </c>
      <c r="M8" s="330">
        <v>0</v>
      </c>
      <c r="N8" s="330">
        <v>0</v>
      </c>
      <c r="O8" s="330">
        <v>0</v>
      </c>
      <c r="P8" s="330">
        <v>-17909000</v>
      </c>
      <c r="Q8" s="330">
        <v>0</v>
      </c>
      <c r="R8" s="330">
        <v>0</v>
      </c>
      <c r="S8" s="330">
        <v>0</v>
      </c>
      <c r="T8" s="330">
        <v>0</v>
      </c>
      <c r="U8" s="330">
        <v>0</v>
      </c>
    </row>
    <row r="9" spans="1:22" ht="11.25" customHeight="1" x14ac:dyDescent="0.25">
      <c r="A9" s="336" t="s">
        <v>469</v>
      </c>
      <c r="B9" s="181"/>
      <c r="C9" s="2536">
        <v>0</v>
      </c>
      <c r="D9" s="2536">
        <v>0</v>
      </c>
      <c r="E9" s="2537">
        <v>314112</v>
      </c>
      <c r="F9" s="2538">
        <v>0</v>
      </c>
      <c r="G9" s="2536">
        <v>314112</v>
      </c>
      <c r="H9" s="2537">
        <v>314112</v>
      </c>
      <c r="I9" s="2539">
        <v>314112</v>
      </c>
      <c r="J9" s="2536">
        <v>314112</v>
      </c>
      <c r="K9" s="2540">
        <v>314112</v>
      </c>
    </row>
    <row r="10" spans="1:22" ht="11.25" customHeight="1" x14ac:dyDescent="0.25">
      <c r="A10" s="636" t="s">
        <v>1030</v>
      </c>
      <c r="B10" s="181"/>
      <c r="C10" s="640"/>
      <c r="D10" s="640"/>
      <c r="E10" s="2495"/>
      <c r="F10" s="2494"/>
      <c r="G10" s="640"/>
      <c r="H10" s="2495"/>
      <c r="I10" s="2496"/>
      <c r="J10" s="640"/>
      <c r="K10" s="2493"/>
    </row>
    <row r="11" spans="1:22" ht="11.25" customHeight="1" x14ac:dyDescent="0.25">
      <c r="A11" s="336" t="s">
        <v>1229</v>
      </c>
      <c r="B11" s="181"/>
      <c r="C11" s="2536">
        <v>-81706.425599995535</v>
      </c>
      <c r="D11" s="2536">
        <v>0</v>
      </c>
      <c r="E11" s="2537">
        <v>1678904.87</v>
      </c>
      <c r="F11" s="2538">
        <v>0</v>
      </c>
      <c r="G11" s="2536">
        <v>-130973</v>
      </c>
      <c r="H11" s="2537">
        <v>-130973</v>
      </c>
      <c r="I11" s="2539">
        <v>-130973</v>
      </c>
      <c r="J11" s="2536">
        <v>-130973</v>
      </c>
      <c r="K11" s="2540">
        <v>-130973</v>
      </c>
    </row>
    <row r="12" spans="1:22" ht="11.25" customHeight="1" x14ac:dyDescent="0.25">
      <c r="A12" s="641" t="s">
        <v>1230</v>
      </c>
      <c r="B12" s="181"/>
      <c r="C12" s="2536">
        <v>10976371.25</v>
      </c>
      <c r="D12" s="2536">
        <v>683782.64</v>
      </c>
      <c r="E12" s="2537">
        <v>1972658</v>
      </c>
      <c r="F12" s="2538">
        <v>0</v>
      </c>
      <c r="G12" s="2536">
        <v>725000</v>
      </c>
      <c r="H12" s="2537">
        <v>725000</v>
      </c>
      <c r="I12" s="2539">
        <v>750000</v>
      </c>
      <c r="J12" s="2536">
        <v>795000</v>
      </c>
      <c r="K12" s="2540">
        <v>842700</v>
      </c>
    </row>
    <row r="13" spans="1:22" ht="11.25" customHeight="1" x14ac:dyDescent="0.25">
      <c r="A13" s="336" t="s">
        <v>2475</v>
      </c>
      <c r="B13" s="181"/>
      <c r="C13" s="2536">
        <v>6430374.6655999999</v>
      </c>
      <c r="D13" s="2536">
        <v>3845561.0522000017</v>
      </c>
      <c r="E13" s="2537">
        <v>-3550725.87</v>
      </c>
      <c r="F13" s="2538"/>
      <c r="G13" s="2536"/>
      <c r="H13" s="2537"/>
      <c r="I13" s="2539"/>
      <c r="J13" s="2536"/>
      <c r="K13" s="2540"/>
    </row>
    <row r="14" spans="1:22" ht="11.25" customHeight="1" x14ac:dyDescent="0.25">
      <c r="A14" s="336" t="s">
        <v>2474</v>
      </c>
      <c r="B14" s="181"/>
      <c r="C14" s="2536">
        <v>0</v>
      </c>
      <c r="D14" s="2536">
        <v>-2465772</v>
      </c>
      <c r="E14" s="2537">
        <v>0</v>
      </c>
      <c r="F14" s="2538"/>
      <c r="G14" s="2536"/>
      <c r="H14" s="2537"/>
      <c r="I14" s="2539"/>
      <c r="J14" s="2536"/>
      <c r="K14" s="2540"/>
    </row>
    <row r="15" spans="1:22" ht="11.25" customHeight="1" x14ac:dyDescent="0.25">
      <c r="A15" s="643" t="s">
        <v>1228</v>
      </c>
      <c r="B15" s="181"/>
      <c r="C15" s="639">
        <v>17325039.490000002</v>
      </c>
      <c r="D15" s="639">
        <v>384666.82220000168</v>
      </c>
      <c r="E15" s="2541">
        <v>231810</v>
      </c>
      <c r="F15" s="2542">
        <v>0</v>
      </c>
      <c r="G15" s="639">
        <v>725000</v>
      </c>
      <c r="H15" s="2543">
        <v>725000</v>
      </c>
      <c r="I15" s="2544">
        <v>750000</v>
      </c>
      <c r="J15" s="639">
        <v>795000</v>
      </c>
      <c r="K15" s="2541">
        <v>842700</v>
      </c>
      <c r="M15" s="330">
        <v>0</v>
      </c>
      <c r="N15" s="330">
        <v>0.11160000169184059</v>
      </c>
      <c r="O15" s="330">
        <v>0</v>
      </c>
      <c r="P15" s="330">
        <v>0</v>
      </c>
      <c r="Q15" s="330">
        <v>0</v>
      </c>
      <c r="R15" s="330">
        <v>0</v>
      </c>
      <c r="S15" s="330">
        <v>0</v>
      </c>
      <c r="T15" s="330">
        <v>0</v>
      </c>
      <c r="U15" s="330">
        <v>0</v>
      </c>
      <c r="V15" s="330"/>
    </row>
    <row r="16" spans="1:22" ht="11.25" customHeight="1" x14ac:dyDescent="0.25">
      <c r="A16" s="641" t="s">
        <v>469</v>
      </c>
      <c r="B16" s="181"/>
      <c r="C16" s="2536">
        <v>0</v>
      </c>
      <c r="D16" s="2536">
        <v>1678904.87</v>
      </c>
      <c r="E16" s="2537">
        <v>-130973</v>
      </c>
      <c r="F16" s="2538">
        <v>0</v>
      </c>
      <c r="G16" s="2536">
        <v>-130973</v>
      </c>
      <c r="H16" s="2537">
        <v>-130973</v>
      </c>
      <c r="I16" s="2539">
        <v>-130973</v>
      </c>
      <c r="J16" s="2536">
        <v>-130973</v>
      </c>
      <c r="K16" s="2540">
        <v>-130973</v>
      </c>
    </row>
    <row r="17" spans="1:22" ht="11.25" customHeight="1" x14ac:dyDescent="0.25">
      <c r="A17" s="636" t="s">
        <v>1066</v>
      </c>
      <c r="B17" s="181"/>
      <c r="C17" s="637"/>
      <c r="D17" s="637"/>
      <c r="E17" s="642"/>
      <c r="F17" s="2545"/>
      <c r="G17" s="637"/>
      <c r="H17" s="642"/>
      <c r="I17" s="2546"/>
      <c r="J17" s="637"/>
      <c r="K17" s="2547"/>
    </row>
    <row r="18" spans="1:22" ht="11.25" customHeight="1" x14ac:dyDescent="0.25">
      <c r="A18" s="336" t="s">
        <v>1229</v>
      </c>
      <c r="B18" s="181"/>
      <c r="C18" s="2536"/>
      <c r="D18" s="2536"/>
      <c r="E18" s="2537"/>
      <c r="F18" s="2538">
        <v>0</v>
      </c>
      <c r="G18" s="2536">
        <v>0</v>
      </c>
      <c r="H18" s="2537">
        <v>0</v>
      </c>
      <c r="I18" s="2539">
        <v>0</v>
      </c>
      <c r="J18" s="2536">
        <v>0</v>
      </c>
      <c r="K18" s="2540">
        <v>0</v>
      </c>
    </row>
    <row r="19" spans="1:22" ht="11.25" customHeight="1" x14ac:dyDescent="0.25">
      <c r="A19" s="641" t="s">
        <v>1230</v>
      </c>
      <c r="B19" s="181"/>
      <c r="C19" s="2536">
        <v>0</v>
      </c>
      <c r="D19" s="2536">
        <v>0</v>
      </c>
      <c r="E19" s="2537">
        <v>0</v>
      </c>
      <c r="F19" s="2538">
        <v>0</v>
      </c>
      <c r="G19" s="2536">
        <v>0</v>
      </c>
      <c r="H19" s="2537">
        <v>0</v>
      </c>
      <c r="I19" s="2539">
        <v>0</v>
      </c>
      <c r="J19" s="2536">
        <v>0</v>
      </c>
      <c r="K19" s="2540">
        <v>0</v>
      </c>
    </row>
    <row r="20" spans="1:22" ht="11.25" customHeight="1" x14ac:dyDescent="0.25">
      <c r="A20" s="643" t="s">
        <v>1228</v>
      </c>
      <c r="B20" s="181"/>
      <c r="C20" s="639">
        <v>0</v>
      </c>
      <c r="D20" s="639">
        <v>0</v>
      </c>
      <c r="E20" s="2541">
        <v>0</v>
      </c>
      <c r="F20" s="2542">
        <v>0</v>
      </c>
      <c r="G20" s="639">
        <v>0</v>
      </c>
      <c r="H20" s="2543">
        <v>0</v>
      </c>
      <c r="I20" s="2544">
        <v>0</v>
      </c>
      <c r="J20" s="639">
        <v>0</v>
      </c>
      <c r="K20" s="2541">
        <v>0</v>
      </c>
      <c r="M20" s="330">
        <v>0</v>
      </c>
      <c r="N20" s="330">
        <v>0</v>
      </c>
      <c r="O20" s="330">
        <v>0</v>
      </c>
      <c r="P20" s="330">
        <v>0</v>
      </c>
      <c r="Q20" s="330">
        <v>0</v>
      </c>
      <c r="R20" s="330">
        <v>0</v>
      </c>
      <c r="S20" s="330">
        <v>0</v>
      </c>
      <c r="T20" s="330">
        <v>0</v>
      </c>
      <c r="U20" s="330">
        <v>0</v>
      </c>
    </row>
    <row r="21" spans="1:22" ht="11.25" customHeight="1" x14ac:dyDescent="0.25">
      <c r="A21" s="641" t="s">
        <v>469</v>
      </c>
      <c r="B21" s="181"/>
      <c r="C21" s="2536"/>
      <c r="D21" s="2536"/>
      <c r="E21" s="2537"/>
      <c r="F21" s="2538">
        <v>0</v>
      </c>
      <c r="G21" s="2536">
        <v>0</v>
      </c>
      <c r="H21" s="2537">
        <v>0</v>
      </c>
      <c r="I21" s="2539">
        <v>0</v>
      </c>
      <c r="J21" s="2536">
        <v>0</v>
      </c>
      <c r="K21" s="2540">
        <v>0</v>
      </c>
    </row>
    <row r="22" spans="1:22" ht="11.25" customHeight="1" x14ac:dyDescent="0.25">
      <c r="A22" s="636" t="s">
        <v>590</v>
      </c>
      <c r="B22" s="181"/>
      <c r="C22" s="637"/>
      <c r="D22" s="637"/>
      <c r="E22" s="642"/>
      <c r="F22" s="2545"/>
      <c r="G22" s="637"/>
      <c r="H22" s="642"/>
      <c r="I22" s="2546"/>
      <c r="J22" s="637"/>
      <c r="K22" s="2547"/>
    </row>
    <row r="23" spans="1:22" ht="11.25" customHeight="1" x14ac:dyDescent="0.25">
      <c r="A23" s="641" t="s">
        <v>1229</v>
      </c>
      <c r="B23" s="181"/>
      <c r="C23" s="2536">
        <v>809951.29379999603</v>
      </c>
      <c r="D23" s="2536">
        <v>227154.8</v>
      </c>
      <c r="E23" s="2537">
        <v>188999</v>
      </c>
      <c r="F23" s="2538">
        <v>0</v>
      </c>
      <c r="G23" s="2536">
        <v>188999</v>
      </c>
      <c r="H23" s="2537">
        <v>188999</v>
      </c>
      <c r="I23" s="2539">
        <v>188999</v>
      </c>
      <c r="J23" s="2536">
        <v>188999</v>
      </c>
      <c r="K23" s="2540">
        <v>188999</v>
      </c>
    </row>
    <row r="24" spans="1:22" ht="11.25" customHeight="1" x14ac:dyDescent="0.25">
      <c r="A24" s="641" t="s">
        <v>1230</v>
      </c>
      <c r="B24" s="181"/>
      <c r="C24" s="2536">
        <v>1242917.26</v>
      </c>
      <c r="D24" s="2536">
        <v>110621.12</v>
      </c>
      <c r="E24" s="2537">
        <v>223370</v>
      </c>
      <c r="F24" s="2538">
        <v>0</v>
      </c>
      <c r="G24" s="2536">
        <v>0</v>
      </c>
      <c r="H24" s="2537">
        <v>0</v>
      </c>
      <c r="I24" s="2539">
        <v>0</v>
      </c>
      <c r="J24" s="2536">
        <v>0</v>
      </c>
      <c r="K24" s="2540">
        <v>0</v>
      </c>
    </row>
    <row r="25" spans="1:22" ht="11.25" customHeight="1" x14ac:dyDescent="0.25">
      <c r="A25" s="643" t="s">
        <v>1228</v>
      </c>
      <c r="B25" s="181"/>
      <c r="C25" s="639">
        <v>1825713.7537999961</v>
      </c>
      <c r="D25" s="639">
        <v>148776.91999999998</v>
      </c>
      <c r="E25" s="2541">
        <v>223370</v>
      </c>
      <c r="F25" s="2542">
        <v>0</v>
      </c>
      <c r="G25" s="639">
        <v>0</v>
      </c>
      <c r="H25" s="2543">
        <v>0</v>
      </c>
      <c r="I25" s="2544">
        <v>0</v>
      </c>
      <c r="J25" s="639">
        <v>0</v>
      </c>
      <c r="K25" s="2541">
        <v>0</v>
      </c>
      <c r="M25" s="330">
        <v>3.7999963387846947E-3</v>
      </c>
      <c r="N25" s="330">
        <v>0</v>
      </c>
      <c r="O25" s="330">
        <v>0</v>
      </c>
      <c r="P25" s="330">
        <v>0</v>
      </c>
      <c r="Q25" s="330">
        <v>0</v>
      </c>
      <c r="R25" s="330">
        <v>0</v>
      </c>
      <c r="S25" s="330">
        <v>0</v>
      </c>
      <c r="T25" s="330">
        <v>0</v>
      </c>
      <c r="U25" s="330">
        <v>0</v>
      </c>
      <c r="V25" s="330"/>
    </row>
    <row r="26" spans="1:22" ht="11.25" customHeight="1" x14ac:dyDescent="0.25">
      <c r="A26" s="641" t="s">
        <v>469</v>
      </c>
      <c r="B26" s="181"/>
      <c r="C26" s="2536">
        <v>227154.8</v>
      </c>
      <c r="D26" s="2536">
        <v>188999</v>
      </c>
      <c r="E26" s="2540">
        <v>188999</v>
      </c>
      <c r="F26" s="2538">
        <v>0</v>
      </c>
      <c r="G26" s="2536">
        <v>188999</v>
      </c>
      <c r="H26" s="2537">
        <v>188999</v>
      </c>
      <c r="I26" s="2539">
        <v>188999</v>
      </c>
      <c r="J26" s="2536">
        <v>188999</v>
      </c>
      <c r="K26" s="2540">
        <v>188999</v>
      </c>
    </row>
    <row r="27" spans="1:22" ht="11.25" customHeight="1" x14ac:dyDescent="0.25">
      <c r="A27" s="644" t="s">
        <v>355</v>
      </c>
      <c r="B27" s="645"/>
      <c r="C27" s="639">
        <v>29097540.5638</v>
      </c>
      <c r="D27" s="639">
        <v>13251633.682200002</v>
      </c>
      <c r="E27" s="2541">
        <v>16301899</v>
      </c>
      <c r="F27" s="2542">
        <v>0</v>
      </c>
      <c r="G27" s="639">
        <v>18623000</v>
      </c>
      <c r="H27" s="2543">
        <v>18623000</v>
      </c>
      <c r="I27" s="2544">
        <v>20785000</v>
      </c>
      <c r="J27" s="639">
        <v>22636800</v>
      </c>
      <c r="K27" s="2541">
        <v>24289408</v>
      </c>
    </row>
    <row r="28" spans="1:22" ht="11.25" customHeight="1" x14ac:dyDescent="0.25">
      <c r="A28" s="644" t="s">
        <v>356</v>
      </c>
      <c r="B28" s="645">
        <v>2</v>
      </c>
      <c r="C28" s="639">
        <v>227154.8</v>
      </c>
      <c r="D28" s="639">
        <v>1867903.87</v>
      </c>
      <c r="E28" s="2541">
        <v>372138</v>
      </c>
      <c r="F28" s="2542">
        <v>0</v>
      </c>
      <c r="G28" s="639">
        <v>372138</v>
      </c>
      <c r="H28" s="2543">
        <v>372138</v>
      </c>
      <c r="I28" s="2544">
        <v>372138</v>
      </c>
      <c r="J28" s="639">
        <v>372138</v>
      </c>
      <c r="K28" s="2541">
        <v>372138</v>
      </c>
    </row>
    <row r="29" spans="1:22" ht="5.0999999999999996" customHeight="1" x14ac:dyDescent="0.25">
      <c r="A29" s="265"/>
      <c r="B29" s="181"/>
      <c r="C29" s="2462"/>
      <c r="D29" s="2462"/>
      <c r="E29" s="633"/>
      <c r="F29" s="2449"/>
      <c r="G29" s="2462"/>
      <c r="H29" s="2450"/>
      <c r="I29" s="2463"/>
      <c r="J29" s="2462"/>
      <c r="K29" s="633"/>
    </row>
    <row r="30" spans="1:22" ht="11.25" customHeight="1" x14ac:dyDescent="0.25">
      <c r="A30" s="244" t="s">
        <v>309</v>
      </c>
      <c r="B30" s="181" t="s">
        <v>520</v>
      </c>
      <c r="C30" s="2462"/>
      <c r="D30" s="2462"/>
      <c r="E30" s="633"/>
      <c r="F30" s="2449"/>
      <c r="G30" s="2462"/>
      <c r="H30" s="2450"/>
      <c r="I30" s="2463"/>
      <c r="J30" s="2462"/>
      <c r="K30" s="633"/>
    </row>
    <row r="31" spans="1:22" ht="11.25" customHeight="1" x14ac:dyDescent="0.25">
      <c r="A31" s="636" t="s">
        <v>1029</v>
      </c>
      <c r="B31" s="181"/>
      <c r="C31" s="2462"/>
      <c r="D31" s="2462"/>
      <c r="E31" s="633"/>
      <c r="F31" s="2449"/>
      <c r="G31" s="2462"/>
      <c r="H31" s="2450"/>
      <c r="I31" s="2463"/>
      <c r="J31" s="2462"/>
      <c r="K31" s="633"/>
    </row>
    <row r="32" spans="1:22" ht="11.25" customHeight="1" x14ac:dyDescent="0.25">
      <c r="A32" s="336" t="s">
        <v>1229</v>
      </c>
      <c r="B32" s="181"/>
      <c r="C32" s="2536">
        <v>2376632.8318000003</v>
      </c>
      <c r="D32" s="2536">
        <v>382188.44180000102</v>
      </c>
      <c r="E32" s="2537">
        <v>1316680.1299999999</v>
      </c>
      <c r="F32" s="2538">
        <v>0</v>
      </c>
      <c r="G32" s="2536">
        <v>3894562</v>
      </c>
      <c r="H32" s="2537">
        <v>3894562</v>
      </c>
      <c r="I32" s="2539">
        <v>3894562</v>
      </c>
      <c r="J32" s="2536">
        <v>3894562</v>
      </c>
      <c r="K32" s="2540">
        <v>3894562</v>
      </c>
    </row>
    <row r="33" spans="1:21" ht="11.25" customHeight="1" x14ac:dyDescent="0.25">
      <c r="A33" s="336" t="s">
        <v>1230</v>
      </c>
      <c r="B33" s="181"/>
      <c r="C33" s="2452">
        <v>3926224</v>
      </c>
      <c r="D33" s="2452">
        <v>14858172.880000001</v>
      </c>
      <c r="E33" s="2455">
        <v>4701466</v>
      </c>
      <c r="F33" s="2454">
        <v>0</v>
      </c>
      <c r="G33" s="2452">
        <v>9488000</v>
      </c>
      <c r="H33" s="2455">
        <v>9488000</v>
      </c>
      <c r="I33" s="2456">
        <v>11510000</v>
      </c>
      <c r="J33" s="2452">
        <v>12141000</v>
      </c>
      <c r="K33" s="2453">
        <v>12843000</v>
      </c>
    </row>
    <row r="34" spans="1:21" ht="11.25" customHeight="1" x14ac:dyDescent="0.25">
      <c r="A34" s="336" t="s">
        <v>2475</v>
      </c>
      <c r="B34" s="181"/>
      <c r="C34" s="2452">
        <v>0</v>
      </c>
      <c r="D34" s="2452">
        <v>858182.89</v>
      </c>
      <c r="E34" s="2455">
        <v>0</v>
      </c>
      <c r="F34" s="2454"/>
      <c r="G34" s="2452"/>
      <c r="H34" s="2455"/>
      <c r="I34" s="2456"/>
      <c r="J34" s="2452"/>
      <c r="K34" s="2453"/>
    </row>
    <row r="35" spans="1:21" ht="11.25" customHeight="1" x14ac:dyDescent="0.25">
      <c r="A35" s="638" t="s">
        <v>1228</v>
      </c>
      <c r="B35" s="181"/>
      <c r="C35" s="639">
        <v>5920668.3899999997</v>
      </c>
      <c r="D35" s="639">
        <v>13065498.301800001</v>
      </c>
      <c r="E35" s="2541">
        <v>2123584.13</v>
      </c>
      <c r="F35" s="2542">
        <v>0</v>
      </c>
      <c r="G35" s="639">
        <v>9488000</v>
      </c>
      <c r="H35" s="2543">
        <v>9488000</v>
      </c>
      <c r="I35" s="2544">
        <v>11510000</v>
      </c>
      <c r="J35" s="639">
        <v>12141000</v>
      </c>
      <c r="K35" s="2541">
        <v>12843000</v>
      </c>
      <c r="M35" s="330">
        <v>0</v>
      </c>
      <c r="N35" s="330">
        <v>0</v>
      </c>
      <c r="O35" s="330">
        <v>1.1299999998882413</v>
      </c>
      <c r="P35" s="330">
        <v>-9488000</v>
      </c>
      <c r="Q35" s="330">
        <v>0</v>
      </c>
      <c r="R35" s="330">
        <v>0</v>
      </c>
      <c r="S35" s="330">
        <v>0</v>
      </c>
      <c r="T35" s="330">
        <v>0</v>
      </c>
      <c r="U35" s="330">
        <v>0</v>
      </c>
    </row>
    <row r="36" spans="1:21" ht="11.25" customHeight="1" x14ac:dyDescent="0.25">
      <c r="A36" s="336" t="s">
        <v>469</v>
      </c>
      <c r="B36" s="181"/>
      <c r="C36" s="2536">
        <v>382188.44180000102</v>
      </c>
      <c r="D36" s="2536">
        <v>1316680.1299999999</v>
      </c>
      <c r="E36" s="2537">
        <v>3894562</v>
      </c>
      <c r="F36" s="2538">
        <v>0</v>
      </c>
      <c r="G36" s="2536">
        <v>3894562</v>
      </c>
      <c r="H36" s="2537">
        <v>3894562</v>
      </c>
      <c r="I36" s="2539">
        <v>3894562</v>
      </c>
      <c r="J36" s="2536">
        <v>3894562</v>
      </c>
      <c r="K36" s="2540">
        <v>3894562</v>
      </c>
    </row>
    <row r="37" spans="1:21" ht="11.25" customHeight="1" x14ac:dyDescent="0.25">
      <c r="A37" s="636" t="s">
        <v>1030</v>
      </c>
      <c r="B37" s="181"/>
      <c r="C37" s="640"/>
      <c r="D37" s="640"/>
      <c r="E37" s="2495"/>
      <c r="F37" s="2494"/>
      <c r="G37" s="640"/>
      <c r="H37" s="2495"/>
      <c r="I37" s="2496"/>
      <c r="J37" s="640"/>
      <c r="K37" s="2493"/>
    </row>
    <row r="38" spans="1:21" ht="11.25" customHeight="1" x14ac:dyDescent="0.25">
      <c r="A38" s="336" t="s">
        <v>1229</v>
      </c>
      <c r="B38" s="181"/>
      <c r="C38" s="2536"/>
      <c r="D38" s="2536">
        <v>0</v>
      </c>
      <c r="E38" s="2537">
        <v>0</v>
      </c>
      <c r="F38" s="2538">
        <v>0</v>
      </c>
      <c r="G38" s="2536">
        <v>0</v>
      </c>
      <c r="H38" s="2537">
        <v>0</v>
      </c>
      <c r="I38" s="2539">
        <v>0</v>
      </c>
      <c r="J38" s="2536">
        <v>0</v>
      </c>
      <c r="K38" s="2540">
        <v>0</v>
      </c>
    </row>
    <row r="39" spans="1:21" ht="11.25" customHeight="1" x14ac:dyDescent="0.25">
      <c r="A39" s="336" t="s">
        <v>2475</v>
      </c>
      <c r="B39" s="181"/>
      <c r="C39" s="2536">
        <v>0</v>
      </c>
      <c r="D39" s="2536">
        <v>0</v>
      </c>
      <c r="E39" s="2537">
        <v>306066</v>
      </c>
      <c r="F39" s="2538"/>
      <c r="G39" s="2536"/>
      <c r="H39" s="2537"/>
      <c r="I39" s="2539"/>
      <c r="J39" s="2536"/>
      <c r="K39" s="2540"/>
    </row>
    <row r="40" spans="1:21" ht="11.25" customHeight="1" x14ac:dyDescent="0.25">
      <c r="A40" s="641" t="s">
        <v>1230</v>
      </c>
      <c r="B40" s="181"/>
      <c r="C40" s="2536">
        <v>0</v>
      </c>
      <c r="D40" s="2452">
        <v>0</v>
      </c>
      <c r="E40" s="2455">
        <v>1000624</v>
      </c>
      <c r="F40" s="2454">
        <v>0</v>
      </c>
      <c r="G40" s="2452">
        <v>0</v>
      </c>
      <c r="H40" s="2455">
        <v>0</v>
      </c>
      <c r="I40" s="2456">
        <v>0</v>
      </c>
      <c r="J40" s="2452">
        <v>0</v>
      </c>
      <c r="K40" s="2453">
        <v>0</v>
      </c>
    </row>
    <row r="41" spans="1:21" ht="11.25" customHeight="1" x14ac:dyDescent="0.25">
      <c r="A41" s="643" t="s">
        <v>1228</v>
      </c>
      <c r="B41" s="181"/>
      <c r="C41" s="639">
        <v>0</v>
      </c>
      <c r="D41" s="639">
        <v>0</v>
      </c>
      <c r="E41" s="2541">
        <v>1306690</v>
      </c>
      <c r="F41" s="2542">
        <v>0</v>
      </c>
      <c r="G41" s="639">
        <v>0</v>
      </c>
      <c r="H41" s="2543">
        <v>0</v>
      </c>
      <c r="I41" s="2544">
        <v>0</v>
      </c>
      <c r="J41" s="639">
        <v>0</v>
      </c>
      <c r="K41" s="2541">
        <v>0</v>
      </c>
      <c r="M41" s="330">
        <v>0</v>
      </c>
      <c r="N41" s="330">
        <v>0</v>
      </c>
      <c r="O41" s="330">
        <v>0</v>
      </c>
      <c r="P41" s="330">
        <v>0</v>
      </c>
      <c r="Q41" s="330">
        <v>0</v>
      </c>
      <c r="R41" s="330">
        <v>0</v>
      </c>
      <c r="S41" s="330">
        <v>0</v>
      </c>
      <c r="T41" s="330">
        <v>0</v>
      </c>
      <c r="U41" s="330">
        <v>0</v>
      </c>
    </row>
    <row r="42" spans="1:21" ht="11.25" customHeight="1" x14ac:dyDescent="0.25">
      <c r="A42" s="641" t="s">
        <v>469</v>
      </c>
      <c r="B42" s="181"/>
      <c r="C42" s="2536"/>
      <c r="D42" s="2536">
        <v>0</v>
      </c>
      <c r="E42" s="2537">
        <v>0</v>
      </c>
      <c r="F42" s="2538">
        <v>0</v>
      </c>
      <c r="G42" s="2536">
        <v>0</v>
      </c>
      <c r="H42" s="2537">
        <v>0</v>
      </c>
      <c r="I42" s="2539">
        <v>0</v>
      </c>
      <c r="J42" s="2536">
        <v>0</v>
      </c>
      <c r="K42" s="2540">
        <v>0</v>
      </c>
    </row>
    <row r="43" spans="1:21" ht="11.25" customHeight="1" x14ac:dyDescent="0.25">
      <c r="A43" s="636" t="s">
        <v>1066</v>
      </c>
      <c r="B43" s="181"/>
      <c r="C43" s="637"/>
      <c r="D43" s="637"/>
      <c r="E43" s="642"/>
      <c r="F43" s="2545"/>
      <c r="G43" s="637"/>
      <c r="H43" s="642"/>
      <c r="I43" s="2546"/>
      <c r="J43" s="637"/>
      <c r="K43" s="2547"/>
    </row>
    <row r="44" spans="1:21" ht="11.25" customHeight="1" x14ac:dyDescent="0.25">
      <c r="A44" s="336" t="s">
        <v>1229</v>
      </c>
      <c r="B44" s="181"/>
      <c r="C44" s="2536"/>
      <c r="D44" s="2536"/>
      <c r="E44" s="2537"/>
      <c r="F44" s="2538">
        <v>0</v>
      </c>
      <c r="G44" s="2536">
        <v>0</v>
      </c>
      <c r="H44" s="2537">
        <v>0</v>
      </c>
      <c r="I44" s="2539">
        <v>0</v>
      </c>
      <c r="J44" s="2536">
        <v>0</v>
      </c>
      <c r="K44" s="2540">
        <v>0</v>
      </c>
    </row>
    <row r="45" spans="1:21" ht="11.25" customHeight="1" x14ac:dyDescent="0.25">
      <c r="A45" s="641" t="s">
        <v>1230</v>
      </c>
      <c r="B45" s="181"/>
      <c r="C45" s="2536">
        <v>0</v>
      </c>
      <c r="D45" s="2536">
        <v>0</v>
      </c>
      <c r="E45" s="2537">
        <v>0</v>
      </c>
      <c r="F45" s="2538">
        <v>0</v>
      </c>
      <c r="G45" s="2536">
        <v>0</v>
      </c>
      <c r="H45" s="2537">
        <v>0</v>
      </c>
      <c r="I45" s="2539">
        <v>0</v>
      </c>
      <c r="J45" s="2536">
        <v>0</v>
      </c>
      <c r="K45" s="2540">
        <v>0</v>
      </c>
    </row>
    <row r="46" spans="1:21" ht="11.25" customHeight="1" x14ac:dyDescent="0.25">
      <c r="A46" s="643" t="s">
        <v>1228</v>
      </c>
      <c r="B46" s="181"/>
      <c r="C46" s="639">
        <v>0</v>
      </c>
      <c r="D46" s="639">
        <v>0</v>
      </c>
      <c r="E46" s="2541">
        <v>0</v>
      </c>
      <c r="F46" s="2542">
        <v>0</v>
      </c>
      <c r="G46" s="639">
        <v>0</v>
      </c>
      <c r="H46" s="2543">
        <v>0</v>
      </c>
      <c r="I46" s="2544">
        <v>0</v>
      </c>
      <c r="J46" s="639">
        <v>0</v>
      </c>
      <c r="K46" s="2541">
        <v>0</v>
      </c>
      <c r="M46" s="330">
        <v>0</v>
      </c>
      <c r="N46" s="330">
        <v>0</v>
      </c>
      <c r="O46" s="330">
        <v>0</v>
      </c>
      <c r="P46" s="330">
        <v>0</v>
      </c>
      <c r="Q46" s="330">
        <v>0</v>
      </c>
      <c r="R46" s="330">
        <v>0</v>
      </c>
      <c r="S46" s="330">
        <v>0</v>
      </c>
      <c r="T46" s="330">
        <v>0</v>
      </c>
      <c r="U46" s="330">
        <v>0</v>
      </c>
    </row>
    <row r="47" spans="1:21" ht="11.25" customHeight="1" x14ac:dyDescent="0.25">
      <c r="A47" s="641" t="s">
        <v>469</v>
      </c>
      <c r="B47" s="181"/>
      <c r="C47" s="2536"/>
      <c r="D47" s="2536"/>
      <c r="E47" s="2537"/>
      <c r="F47" s="2538">
        <v>0</v>
      </c>
      <c r="G47" s="2536">
        <v>0</v>
      </c>
      <c r="H47" s="2537">
        <v>0</v>
      </c>
      <c r="I47" s="2539">
        <v>0</v>
      </c>
      <c r="J47" s="2536">
        <v>0</v>
      </c>
      <c r="K47" s="2540">
        <v>0</v>
      </c>
    </row>
    <row r="48" spans="1:21" ht="11.25" customHeight="1" x14ac:dyDescent="0.25">
      <c r="A48" s="636" t="s">
        <v>590</v>
      </c>
      <c r="B48" s="181"/>
      <c r="C48" s="637"/>
      <c r="D48" s="637"/>
      <c r="E48" s="642"/>
      <c r="F48" s="2545"/>
      <c r="G48" s="637"/>
      <c r="H48" s="642"/>
      <c r="I48" s="2546"/>
      <c r="J48" s="637"/>
      <c r="K48" s="2547"/>
    </row>
    <row r="49" spans="1:21" ht="11.25" customHeight="1" x14ac:dyDescent="0.25">
      <c r="A49" s="641" t="s">
        <v>1229</v>
      </c>
      <c r="B49" s="181"/>
      <c r="C49" s="2536">
        <v>513609.69</v>
      </c>
      <c r="D49" s="2536"/>
      <c r="E49" s="2537"/>
      <c r="F49" s="2538">
        <v>0</v>
      </c>
      <c r="G49" s="2536">
        <v>0</v>
      </c>
      <c r="H49" s="2537">
        <v>0</v>
      </c>
      <c r="I49" s="2539">
        <v>0</v>
      </c>
      <c r="J49" s="2536">
        <v>0</v>
      </c>
      <c r="K49" s="2540">
        <v>0</v>
      </c>
    </row>
    <row r="50" spans="1:21" ht="11.25" customHeight="1" x14ac:dyDescent="0.25">
      <c r="A50" s="641" t="s">
        <v>1230</v>
      </c>
      <c r="B50" s="181"/>
      <c r="C50" s="2536">
        <v>158956.94</v>
      </c>
      <c r="D50" s="2536">
        <v>0</v>
      </c>
      <c r="E50" s="2537">
        <v>0</v>
      </c>
      <c r="F50" s="2538">
        <v>0</v>
      </c>
      <c r="G50" s="2536">
        <v>0</v>
      </c>
      <c r="H50" s="2537">
        <v>0</v>
      </c>
      <c r="I50" s="2539">
        <v>0</v>
      </c>
      <c r="J50" s="2536">
        <v>0</v>
      </c>
      <c r="K50" s="2540">
        <v>0</v>
      </c>
    </row>
    <row r="51" spans="1:21" ht="11.25" customHeight="1" x14ac:dyDescent="0.25">
      <c r="A51" s="643" t="s">
        <v>1228</v>
      </c>
      <c r="B51" s="181"/>
      <c r="C51" s="639">
        <v>672566.63</v>
      </c>
      <c r="D51" s="639">
        <v>0</v>
      </c>
      <c r="E51" s="2541">
        <v>0</v>
      </c>
      <c r="F51" s="2542">
        <v>0</v>
      </c>
      <c r="G51" s="639">
        <v>0</v>
      </c>
      <c r="H51" s="2543">
        <v>0</v>
      </c>
      <c r="I51" s="2544">
        <v>0</v>
      </c>
      <c r="J51" s="639">
        <v>0</v>
      </c>
      <c r="K51" s="2541">
        <v>0</v>
      </c>
      <c r="M51" s="330">
        <v>0</v>
      </c>
      <c r="N51" s="330">
        <v>0</v>
      </c>
      <c r="O51" s="330">
        <v>0</v>
      </c>
      <c r="P51" s="330">
        <v>0</v>
      </c>
      <c r="Q51" s="330">
        <v>0</v>
      </c>
      <c r="R51" s="330">
        <v>0</v>
      </c>
      <c r="S51" s="330">
        <v>0</v>
      </c>
      <c r="T51" s="330">
        <v>0</v>
      </c>
      <c r="U51" s="330">
        <v>0</v>
      </c>
    </row>
    <row r="52" spans="1:21" ht="11.25" customHeight="1" x14ac:dyDescent="0.25">
      <c r="A52" s="641" t="s">
        <v>469</v>
      </c>
      <c r="B52" s="181"/>
      <c r="C52" s="2536">
        <v>0</v>
      </c>
      <c r="D52" s="2536">
        <v>0</v>
      </c>
      <c r="E52" s="2540">
        <v>0</v>
      </c>
      <c r="F52" s="2538">
        <v>0</v>
      </c>
      <c r="G52" s="2536">
        <v>0</v>
      </c>
      <c r="H52" s="2537">
        <v>0</v>
      </c>
      <c r="I52" s="2539">
        <v>0</v>
      </c>
      <c r="J52" s="2536">
        <v>0</v>
      </c>
      <c r="K52" s="2540">
        <v>0</v>
      </c>
    </row>
    <row r="53" spans="1:21" x14ac:dyDescent="0.25">
      <c r="A53" s="644" t="s">
        <v>628</v>
      </c>
      <c r="B53" s="645"/>
      <c r="C53" s="2548">
        <v>6593235.0199999996</v>
      </c>
      <c r="D53" s="2548">
        <v>13065498.301800001</v>
      </c>
      <c r="E53" s="2549">
        <v>3430274.13</v>
      </c>
      <c r="F53" s="2550">
        <v>0</v>
      </c>
      <c r="G53" s="2548">
        <v>9488000</v>
      </c>
      <c r="H53" s="2551">
        <v>9488000</v>
      </c>
      <c r="I53" s="2552">
        <v>11510000</v>
      </c>
      <c r="J53" s="2548">
        <v>12141000</v>
      </c>
      <c r="K53" s="2549">
        <v>12843000</v>
      </c>
    </row>
    <row r="54" spans="1:21" x14ac:dyDescent="0.25">
      <c r="A54" s="644" t="s">
        <v>357</v>
      </c>
      <c r="B54" s="645">
        <v>2</v>
      </c>
      <c r="C54" s="2548">
        <v>382188.44180000102</v>
      </c>
      <c r="D54" s="2548">
        <v>1316680.1299999999</v>
      </c>
      <c r="E54" s="2549">
        <v>3894562</v>
      </c>
      <c r="F54" s="2550">
        <v>0</v>
      </c>
      <c r="G54" s="2548">
        <v>3894562</v>
      </c>
      <c r="H54" s="2551">
        <v>3894562</v>
      </c>
      <c r="I54" s="2552">
        <v>3894562</v>
      </c>
      <c r="J54" s="2548">
        <v>3894562</v>
      </c>
      <c r="K54" s="2549">
        <v>3894562</v>
      </c>
    </row>
    <row r="55" spans="1:21" ht="5.0999999999999996" customHeight="1" x14ac:dyDescent="0.25">
      <c r="A55" s="646"/>
      <c r="B55" s="181"/>
      <c r="C55" s="637"/>
      <c r="D55" s="637"/>
      <c r="E55" s="642"/>
      <c r="F55" s="2545"/>
      <c r="G55" s="637"/>
      <c r="H55" s="642"/>
      <c r="I55" s="2546"/>
      <c r="J55" s="637"/>
      <c r="K55" s="2547"/>
    </row>
    <row r="56" spans="1:21" ht="11.25" customHeight="1" x14ac:dyDescent="0.25">
      <c r="A56" s="879" t="s">
        <v>291</v>
      </c>
      <c r="B56" s="880"/>
      <c r="C56" s="2553">
        <v>35690775.583800003</v>
      </c>
      <c r="D56" s="2553">
        <v>26317131.984000005</v>
      </c>
      <c r="E56" s="2554">
        <v>19732173.129999999</v>
      </c>
      <c r="F56" s="2555">
        <v>0</v>
      </c>
      <c r="G56" s="2553">
        <v>28111000</v>
      </c>
      <c r="H56" s="2556">
        <v>28111000</v>
      </c>
      <c r="I56" s="2557">
        <v>32295000</v>
      </c>
      <c r="J56" s="2553">
        <v>34777800</v>
      </c>
      <c r="K56" s="2554">
        <v>37132408</v>
      </c>
    </row>
    <row r="57" spans="1:21" ht="11.25" customHeight="1" x14ac:dyDescent="0.25">
      <c r="A57" s="268" t="s">
        <v>1441</v>
      </c>
      <c r="B57" s="222"/>
      <c r="C57" s="2469">
        <v>609343.24180000101</v>
      </c>
      <c r="D57" s="2469">
        <v>3184584</v>
      </c>
      <c r="E57" s="2470">
        <v>4266700</v>
      </c>
      <c r="F57" s="2471">
        <v>0</v>
      </c>
      <c r="G57" s="2469">
        <v>4266700</v>
      </c>
      <c r="H57" s="2472">
        <v>4266700</v>
      </c>
      <c r="I57" s="2473">
        <v>4266700</v>
      </c>
      <c r="J57" s="2469">
        <v>4266700</v>
      </c>
      <c r="K57" s="2470">
        <v>4266700</v>
      </c>
    </row>
    <row r="58" spans="1:21" s="625" customFormat="1" ht="11.25" customHeight="1" x14ac:dyDescent="0.25">
      <c r="A58" s="995" t="s">
        <v>986</v>
      </c>
      <c r="B58" s="868"/>
      <c r="C58" s="2558"/>
      <c r="D58" s="2558"/>
      <c r="E58" s="2558"/>
      <c r="F58" s="2558"/>
      <c r="G58" s="2558"/>
      <c r="H58" s="2558"/>
      <c r="I58" s="2558"/>
      <c r="J58" s="2558"/>
      <c r="K58" s="2558"/>
    </row>
    <row r="59" spans="1:21" s="625" customFormat="1" ht="11.25" customHeight="1" x14ac:dyDescent="0.25">
      <c r="A59" s="2721" t="s">
        <v>627</v>
      </c>
      <c r="B59" s="2721"/>
      <c r="C59" s="2721"/>
      <c r="D59" s="2721"/>
      <c r="E59" s="2721"/>
      <c r="F59" s="2721"/>
      <c r="G59" s="2721"/>
      <c r="H59" s="2721"/>
      <c r="I59" s="2721"/>
      <c r="J59" s="2721"/>
      <c r="K59" s="2721"/>
    </row>
    <row r="60" spans="1:21" s="625" customFormat="1" ht="11.25" customHeight="1" x14ac:dyDescent="0.25">
      <c r="A60" s="2721" t="s">
        <v>290</v>
      </c>
      <c r="B60" s="2721"/>
      <c r="C60" s="2721"/>
      <c r="D60" s="2721"/>
      <c r="E60" s="2721"/>
      <c r="F60" s="2721"/>
      <c r="G60" s="2721"/>
      <c r="H60" s="2721"/>
      <c r="I60" s="2721"/>
      <c r="J60" s="2721"/>
      <c r="K60" s="2721"/>
    </row>
    <row r="61" spans="1:21" s="625" customFormat="1" ht="11.25" customHeight="1" x14ac:dyDescent="0.25">
      <c r="A61" s="2721" t="s">
        <v>891</v>
      </c>
      <c r="B61" s="2721"/>
      <c r="C61" s="2721"/>
      <c r="D61" s="2721"/>
      <c r="E61" s="2721"/>
      <c r="F61" s="2721"/>
      <c r="G61" s="2721"/>
      <c r="H61" s="2721"/>
      <c r="I61" s="2721"/>
      <c r="J61" s="2721"/>
      <c r="K61" s="2721"/>
    </row>
    <row r="62" spans="1:21" ht="11.25" customHeight="1" x14ac:dyDescent="0.25">
      <c r="A62" s="648"/>
      <c r="B62" s="648"/>
      <c r="C62" s="2559"/>
      <c r="D62" s="2559"/>
      <c r="E62" s="2559"/>
      <c r="F62" s="2559"/>
      <c r="G62" s="2559"/>
      <c r="H62" s="2559"/>
      <c r="I62" s="2559"/>
      <c r="J62" s="2559"/>
      <c r="K62" s="2559"/>
    </row>
    <row r="63" spans="1:21" ht="11.25" customHeight="1" x14ac:dyDescent="0.25">
      <c r="A63" s="392" t="s">
        <v>470</v>
      </c>
      <c r="C63" s="1916">
        <v>0</v>
      </c>
      <c r="D63" s="1916">
        <v>0</v>
      </c>
      <c r="E63" s="1916">
        <v>1.1300000008195639</v>
      </c>
      <c r="F63" s="1916">
        <v>-18061000</v>
      </c>
      <c r="G63" s="1916">
        <v>0</v>
      </c>
      <c r="H63" s="1916">
        <v>0</v>
      </c>
      <c r="I63" s="1916">
        <v>0</v>
      </c>
      <c r="J63" s="1916">
        <v>0</v>
      </c>
      <c r="K63" s="1916">
        <v>0</v>
      </c>
    </row>
    <row r="64" spans="1:21" ht="11.25" customHeight="1" x14ac:dyDescent="0.25">
      <c r="A64" s="392" t="s">
        <v>471</v>
      </c>
      <c r="C64" s="1916">
        <v>0</v>
      </c>
      <c r="D64" s="1916">
        <v>0</v>
      </c>
      <c r="E64" s="1916">
        <v>1.1299999998882413</v>
      </c>
      <c r="F64" s="1916">
        <v>-9488000</v>
      </c>
      <c r="G64" s="1916">
        <v>0</v>
      </c>
      <c r="H64" s="1916">
        <v>0</v>
      </c>
      <c r="I64" s="1916">
        <v>0</v>
      </c>
      <c r="J64" s="1916">
        <v>0</v>
      </c>
      <c r="K64" s="1916">
        <v>0</v>
      </c>
    </row>
    <row r="65" spans="3:5" ht="11.25" customHeight="1" x14ac:dyDescent="0.25"/>
    <row r="66" spans="3:5" ht="11.25" customHeight="1" x14ac:dyDescent="0.25"/>
    <row r="67" spans="3:5" ht="11.25" customHeight="1" x14ac:dyDescent="0.25">
      <c r="C67" s="1916">
        <v>0.9818000013474375</v>
      </c>
      <c r="D67" s="1916">
        <v>0</v>
      </c>
      <c r="E67" s="1916">
        <v>0</v>
      </c>
    </row>
    <row r="68" spans="3:5" ht="11.25" customHeight="1" x14ac:dyDescent="0.25">
      <c r="C68" s="1916">
        <v>3692146.41</v>
      </c>
      <c r="D68" s="1916">
        <v>609343.24180000101</v>
      </c>
      <c r="E68" s="1916">
        <v>3184584</v>
      </c>
    </row>
    <row r="69" spans="3:5" ht="11.25" customHeight="1" x14ac:dyDescent="0.25">
      <c r="D69" s="1916">
        <v>0.9818000013474375</v>
      </c>
      <c r="E69" s="1916">
        <v>0</v>
      </c>
    </row>
    <row r="70" spans="3:5" ht="11.25" customHeight="1" x14ac:dyDescent="0.25"/>
    <row r="71" spans="3:5" ht="11.25" customHeight="1" x14ac:dyDescent="0.25">
      <c r="C71" s="338">
        <v>3692146.41</v>
      </c>
      <c r="D71" s="338">
        <v>485081.50779999798</v>
      </c>
    </row>
    <row r="72" spans="3:5" ht="11.25" customHeight="1" x14ac:dyDescent="0.25">
      <c r="C72" s="1916">
        <v>0</v>
      </c>
    </row>
    <row r="73" spans="3:5" ht="11.25" customHeight="1" x14ac:dyDescent="0.25"/>
    <row r="74" spans="3:5" ht="11.25" customHeight="1" x14ac:dyDescent="0.25"/>
    <row r="75" spans="3:5" ht="11.25" customHeight="1" x14ac:dyDescent="0.25"/>
    <row r="76" spans="3:5" ht="11.25" customHeight="1" x14ac:dyDescent="0.25"/>
    <row r="77" spans="3:5" ht="11.25" customHeight="1" x14ac:dyDescent="0.25"/>
    <row r="78" spans="3:5" ht="11.25" customHeight="1" x14ac:dyDescent="0.25"/>
    <row r="79" spans="3:5" ht="11.25" customHeight="1" x14ac:dyDescent="0.25"/>
    <row r="80" spans="3:5"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sheetData>
  <mergeCells count="5">
    <mergeCell ref="A61:K61"/>
    <mergeCell ref="F2:H2"/>
    <mergeCell ref="I2:K2"/>
    <mergeCell ref="A59:K59"/>
    <mergeCell ref="A60:K60"/>
  </mergeCells>
  <phoneticPr fontId="4" type="noConversion"/>
  <pageMargins left="0.75" right="0.75" top="1" bottom="1" header="0.5" footer="0.5"/>
  <pageSetup scale="76"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enableFormatConditionsCalculation="0">
    <tabColor indexed="42"/>
    <pageSetUpPr fitToPage="1"/>
  </sheetPr>
  <dimension ref="A1:P75"/>
  <sheetViews>
    <sheetView showGridLines="0" tabSelected="1" workbookViewId="0">
      <selection activeCell="I39" sqref="I39"/>
    </sheetView>
  </sheetViews>
  <sheetFormatPr defaultRowHeight="12.75" x14ac:dyDescent="0.25"/>
  <cols>
    <col min="1" max="1" width="35.7109375" style="338" customWidth="1"/>
    <col min="2" max="2" width="3" style="1928" customWidth="1"/>
    <col min="3" max="12" width="9.28515625" style="338" customWidth="1"/>
    <col min="13" max="13" width="9.85546875" style="148" customWidth="1"/>
    <col min="14" max="14" width="9.5703125" style="148" customWidth="1"/>
    <col min="15" max="15" width="9.85546875" style="148" customWidth="1"/>
    <col min="16" max="18" width="9.5703125" style="148" customWidth="1"/>
    <col min="19" max="19" width="9.85546875" style="148" customWidth="1"/>
    <col min="20" max="22" width="9.5703125" style="148" customWidth="1"/>
    <col min="23" max="24" width="9.85546875" style="148" customWidth="1"/>
    <col min="25" max="16384" width="9.140625" style="148"/>
  </cols>
  <sheetData>
    <row r="1" spans="1:12" ht="13.5" customHeight="1" x14ac:dyDescent="0.25">
      <c r="A1" s="1997" t="s">
        <v>2542</v>
      </c>
      <c r="B1" s="1997"/>
      <c r="C1" s="1997"/>
      <c r="D1" s="1997"/>
      <c r="E1" s="1997"/>
      <c r="F1" s="1997"/>
      <c r="G1" s="1997"/>
      <c r="H1" s="1997"/>
      <c r="I1" s="1997"/>
      <c r="J1" s="1997"/>
      <c r="K1" s="1997"/>
      <c r="L1" s="1997"/>
    </row>
    <row r="2" spans="1:12" ht="28.5" customHeight="1" x14ac:dyDescent="0.25">
      <c r="A2" s="2013" t="s">
        <v>775</v>
      </c>
      <c r="B2" s="1638" t="s">
        <v>429</v>
      </c>
      <c r="C2" s="149" t="s">
        <v>2478</v>
      </c>
      <c r="D2" s="634" t="s">
        <v>2479</v>
      </c>
      <c r="E2" s="1996" t="s">
        <v>2480</v>
      </c>
      <c r="F2" s="2700" t="s">
        <v>2481</v>
      </c>
      <c r="G2" s="2701"/>
      <c r="H2" s="2701"/>
      <c r="I2" s="2705"/>
      <c r="J2" s="2697" t="s">
        <v>2482</v>
      </c>
      <c r="K2" s="2698"/>
      <c r="L2" s="2699"/>
    </row>
    <row r="3" spans="1:12" ht="25.5" x14ac:dyDescent="0.25">
      <c r="A3" s="179" t="s">
        <v>667</v>
      </c>
      <c r="B3" s="1639"/>
      <c r="C3" s="2009" t="s">
        <v>1065</v>
      </c>
      <c r="D3" s="2016" t="s">
        <v>1065</v>
      </c>
      <c r="E3" s="354" t="s">
        <v>1065</v>
      </c>
      <c r="F3" s="2004" t="s">
        <v>467</v>
      </c>
      <c r="G3" s="2009" t="s">
        <v>1807</v>
      </c>
      <c r="H3" s="2018" t="s">
        <v>1808</v>
      </c>
      <c r="I3" s="1693" t="s">
        <v>672</v>
      </c>
      <c r="J3" s="2018" t="s">
        <v>2483</v>
      </c>
      <c r="K3" s="2009" t="s">
        <v>2484</v>
      </c>
      <c r="L3" s="354" t="s">
        <v>2485</v>
      </c>
    </row>
    <row r="4" spans="1:12" ht="5.25" customHeight="1" x14ac:dyDescent="0.25">
      <c r="A4" s="1685"/>
      <c r="B4" s="1686"/>
      <c r="C4" s="2017"/>
      <c r="D4" s="2015"/>
      <c r="E4" s="152"/>
      <c r="F4" s="150"/>
      <c r="G4" s="2017"/>
      <c r="H4" s="2014"/>
      <c r="I4" s="2005"/>
      <c r="J4" s="2014"/>
      <c r="K4" s="2017"/>
      <c r="L4" s="152"/>
    </row>
    <row r="5" spans="1:12" ht="11.25" customHeight="1" x14ac:dyDescent="0.25">
      <c r="A5" s="651" t="s">
        <v>2044</v>
      </c>
      <c r="B5" s="1640"/>
      <c r="C5" s="205"/>
      <c r="D5" s="205"/>
      <c r="E5" s="256"/>
      <c r="F5" s="246"/>
      <c r="G5" s="205"/>
      <c r="H5" s="474"/>
      <c r="I5" s="857"/>
      <c r="J5" s="208"/>
      <c r="K5" s="205"/>
      <c r="L5" s="256"/>
    </row>
    <row r="6" spans="1:12" ht="12" customHeight="1" x14ac:dyDescent="0.25">
      <c r="A6" s="2560" t="s">
        <v>1099</v>
      </c>
      <c r="B6" s="1640">
        <v>1</v>
      </c>
      <c r="C6" s="1030"/>
      <c r="D6" s="1030"/>
      <c r="E6" s="1065"/>
      <c r="F6" s="1066"/>
      <c r="G6" s="1030"/>
      <c r="H6" s="2024"/>
      <c r="I6" s="2215"/>
      <c r="J6" s="1067"/>
      <c r="K6" s="1030"/>
      <c r="L6" s="1065"/>
    </row>
    <row r="7" spans="1:12" ht="11.25" customHeight="1" x14ac:dyDescent="0.25">
      <c r="A7" s="2561"/>
      <c r="B7" s="1640"/>
      <c r="C7" s="1030"/>
      <c r="D7" s="1030"/>
      <c r="E7" s="1065"/>
      <c r="F7" s="1066"/>
      <c r="G7" s="1030"/>
      <c r="H7" s="2024"/>
      <c r="I7" s="2215"/>
      <c r="J7" s="1067"/>
      <c r="K7" s="1030"/>
      <c r="L7" s="1065"/>
    </row>
    <row r="8" spans="1:12" ht="11.25" customHeight="1" x14ac:dyDescent="0.25">
      <c r="A8" s="2561"/>
      <c r="B8" s="1640"/>
      <c r="C8" s="1030"/>
      <c r="D8" s="1030"/>
      <c r="E8" s="1065"/>
      <c r="F8" s="1066"/>
      <c r="G8" s="1030"/>
      <c r="H8" s="2024"/>
      <c r="I8" s="2215"/>
      <c r="J8" s="1067"/>
      <c r="K8" s="1030"/>
      <c r="L8" s="1065"/>
    </row>
    <row r="9" spans="1:12" ht="11.25" customHeight="1" x14ac:dyDescent="0.25">
      <c r="A9" s="652" t="s">
        <v>2046</v>
      </c>
      <c r="B9" s="1641"/>
      <c r="C9" s="654">
        <v>0</v>
      </c>
      <c r="D9" s="654">
        <v>0</v>
      </c>
      <c r="E9" s="655">
        <v>0</v>
      </c>
      <c r="F9" s="656">
        <v>0</v>
      </c>
      <c r="G9" s="654">
        <v>0</v>
      </c>
      <c r="H9" s="1690">
        <v>0</v>
      </c>
      <c r="I9" s="1694">
        <v>0</v>
      </c>
      <c r="J9" s="657">
        <v>0</v>
      </c>
      <c r="K9" s="654">
        <v>0</v>
      </c>
      <c r="L9" s="655">
        <v>0</v>
      </c>
    </row>
    <row r="10" spans="1:12" ht="6" customHeight="1" x14ac:dyDescent="0.25">
      <c r="A10" s="658"/>
      <c r="B10" s="1640"/>
      <c r="C10" s="205"/>
      <c r="D10" s="205"/>
      <c r="E10" s="256"/>
      <c r="F10" s="246"/>
      <c r="G10" s="205"/>
      <c r="H10" s="474"/>
      <c r="I10" s="857"/>
      <c r="J10" s="208"/>
      <c r="K10" s="205"/>
      <c r="L10" s="256"/>
    </row>
    <row r="11" spans="1:12" ht="11.25" customHeight="1" x14ac:dyDescent="0.25">
      <c r="A11" s="651" t="s">
        <v>2047</v>
      </c>
      <c r="B11" s="1640"/>
      <c r="C11" s="205"/>
      <c r="D11" s="205"/>
      <c r="E11" s="256"/>
      <c r="F11" s="246"/>
      <c r="G11" s="205"/>
      <c r="H11" s="474"/>
      <c r="I11" s="857"/>
      <c r="J11" s="208"/>
      <c r="K11" s="205"/>
      <c r="L11" s="256"/>
    </row>
    <row r="12" spans="1:12" ht="11.25" customHeight="1" x14ac:dyDescent="0.25">
      <c r="A12" s="2560" t="s">
        <v>1099</v>
      </c>
      <c r="B12" s="1640">
        <v>2</v>
      </c>
      <c r="C12" s="1030"/>
      <c r="D12" s="1030"/>
      <c r="E12" s="1065"/>
      <c r="F12" s="1066"/>
      <c r="G12" s="1030"/>
      <c r="H12" s="2024"/>
      <c r="I12" s="2215"/>
      <c r="J12" s="1067"/>
      <c r="K12" s="1030"/>
      <c r="L12" s="1065"/>
    </row>
    <row r="13" spans="1:12" ht="11.25" customHeight="1" x14ac:dyDescent="0.25">
      <c r="A13" s="2477"/>
      <c r="B13" s="1640"/>
      <c r="C13" s="1030"/>
      <c r="D13" s="1030"/>
      <c r="E13" s="1065"/>
      <c r="F13" s="1066"/>
      <c r="G13" s="1030"/>
      <c r="H13" s="2024"/>
      <c r="I13" s="2215"/>
      <c r="J13" s="1067"/>
      <c r="K13" s="1030"/>
      <c r="L13" s="1065"/>
    </row>
    <row r="14" spans="1:12" ht="11.25" customHeight="1" x14ac:dyDescent="0.25">
      <c r="A14" s="2477"/>
      <c r="B14" s="1640"/>
      <c r="C14" s="1030"/>
      <c r="D14" s="1030"/>
      <c r="E14" s="1065"/>
      <c r="F14" s="1066"/>
      <c r="G14" s="1030"/>
      <c r="H14" s="2024"/>
      <c r="I14" s="2215"/>
      <c r="J14" s="1067"/>
      <c r="K14" s="1030"/>
      <c r="L14" s="1065"/>
    </row>
    <row r="15" spans="1:12" ht="11.25" customHeight="1" x14ac:dyDescent="0.25">
      <c r="A15" s="652" t="s">
        <v>2048</v>
      </c>
      <c r="B15" s="1641"/>
      <c r="C15" s="654">
        <v>0</v>
      </c>
      <c r="D15" s="654">
        <v>0</v>
      </c>
      <c r="E15" s="655">
        <v>0</v>
      </c>
      <c r="F15" s="656">
        <v>0</v>
      </c>
      <c r="G15" s="654">
        <v>0</v>
      </c>
      <c r="H15" s="1690">
        <v>0</v>
      </c>
      <c r="I15" s="1694">
        <v>0</v>
      </c>
      <c r="J15" s="657">
        <v>0</v>
      </c>
      <c r="K15" s="654">
        <v>0</v>
      </c>
      <c r="L15" s="655">
        <v>0</v>
      </c>
    </row>
    <row r="16" spans="1:12" x14ac:dyDescent="0.25">
      <c r="A16" s="566"/>
      <c r="B16" s="1640"/>
      <c r="C16" s="357"/>
      <c r="D16" s="357"/>
      <c r="E16" s="313"/>
      <c r="F16" s="358"/>
      <c r="G16" s="357"/>
      <c r="H16" s="1691"/>
      <c r="I16" s="1695"/>
      <c r="J16" s="359"/>
      <c r="K16" s="357"/>
      <c r="L16" s="313"/>
    </row>
    <row r="17" spans="1:12" ht="11.25" customHeight="1" x14ac:dyDescent="0.25">
      <c r="A17" s="651" t="s">
        <v>2049</v>
      </c>
      <c r="B17" s="1640"/>
      <c r="C17" s="205"/>
      <c r="D17" s="205"/>
      <c r="E17" s="256"/>
      <c r="F17" s="246"/>
      <c r="G17" s="205"/>
      <c r="H17" s="474"/>
      <c r="I17" s="857"/>
      <c r="J17" s="208"/>
      <c r="K17" s="205"/>
      <c r="L17" s="256"/>
    </row>
    <row r="18" spans="1:12" ht="11.25" customHeight="1" x14ac:dyDescent="0.25">
      <c r="A18" s="2560" t="s">
        <v>1099</v>
      </c>
      <c r="B18" s="1640">
        <v>3</v>
      </c>
      <c r="C18" s="1030"/>
      <c r="D18" s="1030"/>
      <c r="E18" s="1065"/>
      <c r="F18" s="1066"/>
      <c r="G18" s="1030"/>
      <c r="H18" s="2024"/>
      <c r="I18" s="2215"/>
      <c r="J18" s="1067"/>
      <c r="K18" s="1030"/>
      <c r="L18" s="1065"/>
    </row>
    <row r="19" spans="1:12" ht="11.25" customHeight="1" x14ac:dyDescent="0.25">
      <c r="A19" s="2477"/>
      <c r="B19" s="1640"/>
      <c r="C19" s="1030"/>
      <c r="D19" s="1030"/>
      <c r="E19" s="1065"/>
      <c r="F19" s="1066"/>
      <c r="G19" s="1030"/>
      <c r="H19" s="2024"/>
      <c r="I19" s="2215"/>
      <c r="J19" s="1067"/>
      <c r="K19" s="1030"/>
      <c r="L19" s="1065"/>
    </row>
    <row r="20" spans="1:12" ht="11.25" customHeight="1" x14ac:dyDescent="0.25">
      <c r="A20" s="2477"/>
      <c r="B20" s="1640"/>
      <c r="C20" s="1030"/>
      <c r="D20" s="1030"/>
      <c r="E20" s="1065"/>
      <c r="F20" s="1066"/>
      <c r="G20" s="1030"/>
      <c r="H20" s="2024"/>
      <c r="I20" s="2215"/>
      <c r="J20" s="1067"/>
      <c r="K20" s="1030"/>
      <c r="L20" s="1065"/>
    </row>
    <row r="21" spans="1:12" ht="11.25" customHeight="1" x14ac:dyDescent="0.25">
      <c r="A21" s="652" t="s">
        <v>2050</v>
      </c>
      <c r="B21" s="1641"/>
      <c r="C21" s="654">
        <v>0</v>
      </c>
      <c r="D21" s="654">
        <v>0</v>
      </c>
      <c r="E21" s="655">
        <v>0</v>
      </c>
      <c r="F21" s="656">
        <v>0</v>
      </c>
      <c r="G21" s="654">
        <v>0</v>
      </c>
      <c r="H21" s="1690">
        <v>0</v>
      </c>
      <c r="I21" s="1694">
        <v>0</v>
      </c>
      <c r="J21" s="657">
        <v>0</v>
      </c>
      <c r="K21" s="654">
        <v>0</v>
      </c>
      <c r="L21" s="655">
        <v>0</v>
      </c>
    </row>
    <row r="22" spans="1:12" ht="11.25" customHeight="1" x14ac:dyDescent="0.25">
      <c r="A22" s="566"/>
      <c r="B22" s="1640"/>
      <c r="C22" s="357"/>
      <c r="D22" s="357"/>
      <c r="E22" s="313"/>
      <c r="F22" s="358"/>
      <c r="G22" s="357"/>
      <c r="H22" s="1691"/>
      <c r="I22" s="1695"/>
      <c r="J22" s="359"/>
      <c r="K22" s="357"/>
      <c r="L22" s="313"/>
    </row>
    <row r="23" spans="1:12" ht="11.25" customHeight="1" x14ac:dyDescent="0.25">
      <c r="A23" s="651" t="s">
        <v>2051</v>
      </c>
      <c r="B23" s="1640"/>
      <c r="C23" s="205"/>
      <c r="D23" s="205"/>
      <c r="E23" s="256"/>
      <c r="F23" s="246"/>
      <c r="G23" s="205"/>
      <c r="H23" s="474"/>
      <c r="I23" s="857"/>
      <c r="J23" s="208"/>
      <c r="K23" s="205"/>
      <c r="L23" s="256"/>
    </row>
    <row r="24" spans="1:12" ht="11.25" customHeight="1" x14ac:dyDescent="0.25">
      <c r="A24" s="2560" t="s">
        <v>1099</v>
      </c>
      <c r="B24" s="1640">
        <v>4</v>
      </c>
      <c r="C24" s="1030"/>
      <c r="D24" s="1030"/>
      <c r="E24" s="1065"/>
      <c r="F24" s="1066"/>
      <c r="G24" s="1030"/>
      <c r="H24" s="2024"/>
      <c r="I24" s="2215"/>
      <c r="J24" s="1067"/>
      <c r="K24" s="1030"/>
      <c r="L24" s="1065"/>
    </row>
    <row r="25" spans="1:12" ht="11.25" customHeight="1" x14ac:dyDescent="0.25">
      <c r="A25" s="2477"/>
      <c r="B25" s="1640"/>
      <c r="C25" s="1030"/>
      <c r="D25" s="1030"/>
      <c r="E25" s="1065"/>
      <c r="F25" s="1066"/>
      <c r="G25" s="1030"/>
      <c r="H25" s="2024"/>
      <c r="I25" s="2215"/>
      <c r="J25" s="1067"/>
      <c r="K25" s="1030"/>
      <c r="L25" s="1065"/>
    </row>
    <row r="26" spans="1:12" ht="11.25" customHeight="1" x14ac:dyDescent="0.25">
      <c r="A26" s="2477"/>
      <c r="B26" s="1640"/>
      <c r="C26" s="1030"/>
      <c r="D26" s="1030"/>
      <c r="E26" s="1065"/>
      <c r="F26" s="1066"/>
      <c r="G26" s="1030"/>
      <c r="H26" s="2024"/>
      <c r="I26" s="2215"/>
      <c r="J26" s="1067"/>
      <c r="K26" s="1030"/>
      <c r="L26" s="1065"/>
    </row>
    <row r="27" spans="1:12" ht="12" customHeight="1" x14ac:dyDescent="0.25">
      <c r="A27" s="1274" t="s">
        <v>2052</v>
      </c>
      <c r="B27" s="1641"/>
      <c r="C27" s="654">
        <v>0</v>
      </c>
      <c r="D27" s="654">
        <v>0</v>
      </c>
      <c r="E27" s="655">
        <v>0</v>
      </c>
      <c r="F27" s="656">
        <v>0</v>
      </c>
      <c r="G27" s="654">
        <v>0</v>
      </c>
      <c r="H27" s="1690">
        <v>0</v>
      </c>
      <c r="I27" s="1694">
        <v>0</v>
      </c>
      <c r="J27" s="657">
        <v>0</v>
      </c>
      <c r="K27" s="654">
        <v>0</v>
      </c>
      <c r="L27" s="655">
        <v>0</v>
      </c>
    </row>
    <row r="28" spans="1:12" ht="12" customHeight="1" x14ac:dyDescent="0.25">
      <c r="A28" s="1684"/>
      <c r="B28" s="1640"/>
      <c r="C28" s="357"/>
      <c r="D28" s="357"/>
      <c r="E28" s="313"/>
      <c r="F28" s="358"/>
      <c r="G28" s="357"/>
      <c r="H28" s="1691"/>
      <c r="I28" s="1695"/>
      <c r="J28" s="359"/>
      <c r="K28" s="357"/>
      <c r="L28" s="313"/>
    </row>
    <row r="29" spans="1:12" x14ac:dyDescent="0.25">
      <c r="A29" s="651" t="s">
        <v>2053</v>
      </c>
      <c r="B29" s="1640"/>
      <c r="C29" s="205"/>
      <c r="D29" s="205"/>
      <c r="E29" s="256"/>
      <c r="F29" s="246"/>
      <c r="G29" s="205"/>
      <c r="H29" s="474"/>
      <c r="I29" s="857"/>
      <c r="J29" s="208"/>
      <c r="K29" s="205"/>
      <c r="L29" s="256"/>
    </row>
    <row r="30" spans="1:12" ht="11.25" customHeight="1" x14ac:dyDescent="0.25">
      <c r="A30" s="2560" t="s">
        <v>2384</v>
      </c>
      <c r="B30" s="1640">
        <v>5</v>
      </c>
      <c r="C30" s="1030">
        <v>143399.92000000001</v>
      </c>
      <c r="D30" s="1030">
        <v>150691.35</v>
      </c>
      <c r="E30" s="1065">
        <v>117781.53</v>
      </c>
      <c r="F30" s="1066">
        <v>152629</v>
      </c>
      <c r="G30" s="1030">
        <v>85541.142857142855</v>
      </c>
      <c r="H30" s="2024">
        <v>85541.142857142855</v>
      </c>
      <c r="I30" s="2215">
        <v>85541.142857142855</v>
      </c>
      <c r="J30" s="1067">
        <v>159000</v>
      </c>
      <c r="K30" s="1030">
        <v>168540</v>
      </c>
      <c r="L30" s="1065">
        <v>178652.40000000002</v>
      </c>
    </row>
    <row r="31" spans="1:12" ht="11.25" customHeight="1" x14ac:dyDescent="0.25">
      <c r="A31" s="2562" t="s">
        <v>2392</v>
      </c>
      <c r="B31" s="1640"/>
      <c r="C31" s="1030">
        <v>838402.87</v>
      </c>
      <c r="D31" s="1030">
        <v>537335.05000000005</v>
      </c>
      <c r="E31" s="1065">
        <v>683054.72</v>
      </c>
      <c r="F31" s="1066">
        <v>115643</v>
      </c>
      <c r="G31" s="1030">
        <v>243031</v>
      </c>
      <c r="H31" s="2024">
        <v>243031</v>
      </c>
      <c r="I31" s="2215">
        <v>243031</v>
      </c>
      <c r="J31" s="1067">
        <v>1008950.976</v>
      </c>
      <c r="K31" s="1030">
        <v>1069488.0345600001</v>
      </c>
      <c r="L31" s="1065">
        <v>1133657.3166336</v>
      </c>
    </row>
    <row r="32" spans="1:12" ht="11.25" customHeight="1" x14ac:dyDescent="0.25">
      <c r="A32" s="2563" t="s">
        <v>2393</v>
      </c>
      <c r="B32" s="1640"/>
      <c r="C32" s="1030">
        <v>272416.40000000002</v>
      </c>
      <c r="D32" s="1030">
        <v>266343</v>
      </c>
      <c r="E32" s="1065">
        <v>558578.69000000006</v>
      </c>
      <c r="F32" s="1066">
        <v>475820</v>
      </c>
      <c r="G32" s="1030">
        <v>490550</v>
      </c>
      <c r="H32" s="2024">
        <v>490550</v>
      </c>
      <c r="I32" s="2215">
        <v>490550</v>
      </c>
      <c r="J32" s="1067">
        <v>885055.50719999999</v>
      </c>
      <c r="K32" s="1030">
        <v>938158.8376320001</v>
      </c>
      <c r="L32" s="1065">
        <v>994448.36788992013</v>
      </c>
    </row>
    <row r="33" spans="1:16" ht="11.25" customHeight="1" x14ac:dyDescent="0.25">
      <c r="A33" s="2563" t="s">
        <v>2394</v>
      </c>
      <c r="B33" s="1640"/>
      <c r="C33" s="1030">
        <v>1078428.18</v>
      </c>
      <c r="D33" s="1030">
        <v>809533.55</v>
      </c>
      <c r="E33" s="1065">
        <v>1094450.55</v>
      </c>
      <c r="F33" s="1066">
        <v>1564010</v>
      </c>
      <c r="G33" s="1030">
        <v>1564010</v>
      </c>
      <c r="H33" s="2024">
        <v>1564010</v>
      </c>
      <c r="I33" s="2215">
        <v>1564010</v>
      </c>
      <c r="J33" s="1067">
        <v>1466409.6</v>
      </c>
      <c r="K33" s="1030">
        <v>1554394.1760000002</v>
      </c>
      <c r="L33" s="1065">
        <v>1647657.8265600002</v>
      </c>
    </row>
    <row r="34" spans="1:16" ht="11.25" customHeight="1" x14ac:dyDescent="0.25">
      <c r="A34" s="2563" t="s">
        <v>2395</v>
      </c>
      <c r="B34" s="1640"/>
      <c r="C34" s="1030">
        <v>1071960.3500000001</v>
      </c>
      <c r="D34" s="1030">
        <v>894750.53</v>
      </c>
      <c r="E34" s="1065">
        <v>1093949.6599999999</v>
      </c>
      <c r="F34" s="1066">
        <v>1174974</v>
      </c>
      <c r="G34" s="1030">
        <v>1174974</v>
      </c>
      <c r="H34" s="2024">
        <v>1174974</v>
      </c>
      <c r="I34" s="2215">
        <v>1174974</v>
      </c>
      <c r="J34" s="1067">
        <v>1466409.6</v>
      </c>
      <c r="K34" s="1030">
        <v>1554394.1760000002</v>
      </c>
      <c r="L34" s="1065">
        <v>1647657.8265600002</v>
      </c>
    </row>
    <row r="35" spans="1:16" ht="11.25" customHeight="1" x14ac:dyDescent="0.25">
      <c r="A35" s="1274" t="s">
        <v>2054</v>
      </c>
      <c r="B35" s="1641"/>
      <c r="C35" s="654">
        <v>3404607.72</v>
      </c>
      <c r="D35" s="654">
        <v>2658653.4800000004</v>
      </c>
      <c r="E35" s="655">
        <v>3547815.1500000004</v>
      </c>
      <c r="F35" s="656">
        <v>3483076</v>
      </c>
      <c r="G35" s="654">
        <v>3558106.1428571427</v>
      </c>
      <c r="H35" s="1690">
        <v>3558106.1428571427</v>
      </c>
      <c r="I35" s="1694">
        <v>3558106.1428571427</v>
      </c>
      <c r="J35" s="657">
        <v>4985825.6831999999</v>
      </c>
      <c r="K35" s="654">
        <v>5284975.224192</v>
      </c>
      <c r="L35" s="655">
        <v>5602073.7376435203</v>
      </c>
    </row>
    <row r="36" spans="1:16" ht="15" customHeight="1" x14ac:dyDescent="0.25">
      <c r="A36" s="659" t="s">
        <v>2045</v>
      </c>
      <c r="B36" s="1642">
        <v>6</v>
      </c>
      <c r="C36" s="224">
        <v>3404607.72</v>
      </c>
      <c r="D36" s="224">
        <v>2658653.4800000004</v>
      </c>
      <c r="E36" s="320">
        <v>3547815.1500000004</v>
      </c>
      <c r="F36" s="321">
        <v>3483076</v>
      </c>
      <c r="G36" s="224">
        <v>3558106.1428571427</v>
      </c>
      <c r="H36" s="1692">
        <v>3558106.1428571427</v>
      </c>
      <c r="I36" s="1696">
        <v>3558106.1428571427</v>
      </c>
      <c r="J36" s="223">
        <v>4985825.6831999999</v>
      </c>
      <c r="K36" s="224">
        <v>5284975.224192</v>
      </c>
      <c r="L36" s="320">
        <v>5602073.7376435203</v>
      </c>
    </row>
    <row r="37" spans="1:16" ht="7.5" customHeight="1" x14ac:dyDescent="0.25">
      <c r="A37" s="1687"/>
      <c r="B37" s="1688"/>
      <c r="C37" s="1689"/>
      <c r="D37" s="1689"/>
      <c r="E37" s="1689"/>
      <c r="F37" s="1689"/>
      <c r="G37" s="1689"/>
      <c r="H37" s="1689"/>
      <c r="I37" s="1697"/>
      <c r="J37" s="1689"/>
      <c r="K37" s="1689"/>
      <c r="L37" s="1689"/>
    </row>
    <row r="38" spans="1:16" ht="11.25" customHeight="1" x14ac:dyDescent="0.25">
      <c r="A38" s="2564" t="s">
        <v>2164</v>
      </c>
      <c r="B38" s="2565"/>
      <c r="C38" s="2226"/>
      <c r="D38" s="2226"/>
      <c r="E38" s="2566"/>
      <c r="F38" s="2567"/>
      <c r="G38" s="2226"/>
      <c r="H38" s="2568"/>
      <c r="I38" s="2569"/>
      <c r="J38" s="2570"/>
      <c r="K38" s="2226"/>
      <c r="L38" s="2566"/>
    </row>
    <row r="39" spans="1:16" ht="11.25" customHeight="1" x14ac:dyDescent="0.25">
      <c r="A39" s="2560" t="s">
        <v>1099</v>
      </c>
      <c r="B39" s="1640">
        <v>1</v>
      </c>
      <c r="C39" s="1030"/>
      <c r="D39" s="1030"/>
      <c r="E39" s="1065"/>
      <c r="F39" s="1066"/>
      <c r="G39" s="1030"/>
      <c r="H39" s="2024"/>
      <c r="I39" s="2215"/>
      <c r="J39" s="1067"/>
      <c r="K39" s="1030"/>
      <c r="L39" s="1065"/>
    </row>
    <row r="40" spans="1:16" ht="11.25" customHeight="1" x14ac:dyDescent="0.25">
      <c r="A40" s="2561"/>
      <c r="B40" s="1640"/>
      <c r="C40" s="1030"/>
      <c r="D40" s="1030"/>
      <c r="E40" s="1065"/>
      <c r="F40" s="1066"/>
      <c r="G40" s="1030"/>
      <c r="H40" s="2024"/>
      <c r="I40" s="2215"/>
      <c r="J40" s="1067"/>
      <c r="K40" s="1030"/>
      <c r="L40" s="1065"/>
      <c r="P40" s="338"/>
    </row>
    <row r="41" spans="1:16" ht="11.25" customHeight="1" x14ac:dyDescent="0.25">
      <c r="A41" s="2561"/>
      <c r="B41" s="1640"/>
      <c r="C41" s="1030"/>
      <c r="D41" s="1030"/>
      <c r="E41" s="1065"/>
      <c r="F41" s="1066"/>
      <c r="G41" s="1030"/>
      <c r="H41" s="2024"/>
      <c r="I41" s="2215"/>
      <c r="J41" s="1067"/>
      <c r="K41" s="1030"/>
      <c r="L41" s="1065"/>
    </row>
    <row r="42" spans="1:16" ht="11.25" customHeight="1" x14ac:dyDescent="0.25">
      <c r="A42" s="652" t="s">
        <v>2165</v>
      </c>
      <c r="B42" s="1641"/>
      <c r="C42" s="654">
        <v>0</v>
      </c>
      <c r="D42" s="654">
        <v>0</v>
      </c>
      <c r="E42" s="655">
        <v>0</v>
      </c>
      <c r="F42" s="656">
        <v>0</v>
      </c>
      <c r="G42" s="654">
        <v>0</v>
      </c>
      <c r="H42" s="1690">
        <v>0</v>
      </c>
      <c r="I42" s="1694">
        <v>0</v>
      </c>
      <c r="J42" s="657">
        <v>0</v>
      </c>
      <c r="K42" s="654">
        <v>0</v>
      </c>
      <c r="L42" s="655">
        <v>0</v>
      </c>
    </row>
    <row r="43" spans="1:16" ht="11.25" customHeight="1" x14ac:dyDescent="0.25">
      <c r="A43" s="658"/>
      <c r="B43" s="1640"/>
      <c r="C43" s="205"/>
      <c r="D43" s="205"/>
      <c r="E43" s="256"/>
      <c r="F43" s="246"/>
      <c r="G43" s="205"/>
      <c r="H43" s="474"/>
      <c r="I43" s="857"/>
      <c r="J43" s="208"/>
      <c r="K43" s="205"/>
      <c r="L43" s="256"/>
    </row>
    <row r="44" spans="1:16" ht="11.25" customHeight="1" x14ac:dyDescent="0.25">
      <c r="A44" s="651" t="s">
        <v>2166</v>
      </c>
      <c r="B44" s="1640"/>
      <c r="C44" s="205"/>
      <c r="D44" s="205"/>
      <c r="E44" s="256"/>
      <c r="F44" s="246"/>
      <c r="G44" s="205"/>
      <c r="H44" s="474"/>
      <c r="I44" s="857"/>
      <c r="J44" s="208"/>
      <c r="K44" s="205"/>
      <c r="L44" s="256"/>
    </row>
    <row r="45" spans="1:16" ht="11.25" customHeight="1" x14ac:dyDescent="0.25">
      <c r="A45" s="2560" t="s">
        <v>1099</v>
      </c>
      <c r="B45" s="1640">
        <v>2</v>
      </c>
      <c r="C45" s="1030"/>
      <c r="D45" s="1030"/>
      <c r="E45" s="1065"/>
      <c r="F45" s="1066"/>
      <c r="G45" s="1030"/>
      <c r="H45" s="2024"/>
      <c r="I45" s="2215"/>
      <c r="J45" s="1067"/>
      <c r="K45" s="1030"/>
      <c r="L45" s="1065"/>
    </row>
    <row r="46" spans="1:16" ht="11.25" customHeight="1" x14ac:dyDescent="0.25">
      <c r="A46" s="2477"/>
      <c r="B46" s="1640"/>
      <c r="C46" s="1030"/>
      <c r="D46" s="1030"/>
      <c r="E46" s="1065"/>
      <c r="F46" s="1066"/>
      <c r="G46" s="1030"/>
      <c r="H46" s="2024"/>
      <c r="I46" s="2215"/>
      <c r="J46" s="1067"/>
      <c r="K46" s="1030"/>
      <c r="L46" s="1065"/>
    </row>
    <row r="47" spans="1:16" ht="11.25" customHeight="1" x14ac:dyDescent="0.25">
      <c r="A47" s="2477"/>
      <c r="B47" s="1640"/>
      <c r="C47" s="1030"/>
      <c r="D47" s="1030"/>
      <c r="E47" s="1065"/>
      <c r="F47" s="1066"/>
      <c r="G47" s="1030"/>
      <c r="H47" s="2024"/>
      <c r="I47" s="2215"/>
      <c r="J47" s="1067"/>
      <c r="K47" s="1030"/>
      <c r="L47" s="1065"/>
    </row>
    <row r="48" spans="1:16" ht="11.25" customHeight="1" x14ac:dyDescent="0.25">
      <c r="A48" s="652" t="s">
        <v>2167</v>
      </c>
      <c r="B48" s="1641"/>
      <c r="C48" s="654">
        <v>0</v>
      </c>
      <c r="D48" s="654">
        <v>0</v>
      </c>
      <c r="E48" s="655">
        <v>0</v>
      </c>
      <c r="F48" s="656">
        <v>0</v>
      </c>
      <c r="G48" s="654">
        <v>0</v>
      </c>
      <c r="H48" s="1690">
        <v>0</v>
      </c>
      <c r="I48" s="1694">
        <v>0</v>
      </c>
      <c r="J48" s="657">
        <v>0</v>
      </c>
      <c r="K48" s="654">
        <v>0</v>
      </c>
      <c r="L48" s="655">
        <v>0</v>
      </c>
    </row>
    <row r="49" spans="1:12" ht="11.25" customHeight="1" x14ac:dyDescent="0.25">
      <c r="A49" s="566"/>
      <c r="B49" s="1640"/>
      <c r="C49" s="357"/>
      <c r="D49" s="357"/>
      <c r="E49" s="313"/>
      <c r="F49" s="358"/>
      <c r="G49" s="357"/>
      <c r="H49" s="1691"/>
      <c r="I49" s="1695"/>
      <c r="J49" s="359"/>
      <c r="K49" s="357"/>
      <c r="L49" s="313"/>
    </row>
    <row r="50" spans="1:12" ht="11.25" customHeight="1" x14ac:dyDescent="0.25">
      <c r="A50" s="651" t="s">
        <v>2168</v>
      </c>
      <c r="B50" s="1640"/>
      <c r="C50" s="205"/>
      <c r="D50" s="205"/>
      <c r="E50" s="256"/>
      <c r="F50" s="246"/>
      <c r="G50" s="205"/>
      <c r="H50" s="474"/>
      <c r="I50" s="857"/>
      <c r="J50" s="208"/>
      <c r="K50" s="205"/>
      <c r="L50" s="256"/>
    </row>
    <row r="51" spans="1:12" ht="11.25" customHeight="1" x14ac:dyDescent="0.25">
      <c r="A51" s="2560" t="s">
        <v>1099</v>
      </c>
      <c r="B51" s="1640">
        <v>3</v>
      </c>
      <c r="C51" s="1030"/>
      <c r="D51" s="1030"/>
      <c r="E51" s="1065"/>
      <c r="F51" s="1066"/>
      <c r="G51" s="1030"/>
      <c r="H51" s="2024"/>
      <c r="I51" s="2215"/>
      <c r="J51" s="1067"/>
      <c r="K51" s="1030"/>
      <c r="L51" s="1065"/>
    </row>
    <row r="52" spans="1:12" ht="11.25" customHeight="1" x14ac:dyDescent="0.25">
      <c r="A52" s="2477"/>
      <c r="B52" s="1640"/>
      <c r="C52" s="1030"/>
      <c r="D52" s="1030"/>
      <c r="E52" s="1065"/>
      <c r="F52" s="1066"/>
      <c r="G52" s="1030"/>
      <c r="H52" s="2024"/>
      <c r="I52" s="2215"/>
      <c r="J52" s="1067"/>
      <c r="K52" s="1030"/>
      <c r="L52" s="1065"/>
    </row>
    <row r="53" spans="1:12" ht="11.25" customHeight="1" x14ac:dyDescent="0.25">
      <c r="A53" s="2477"/>
      <c r="B53" s="1640"/>
      <c r="C53" s="1030"/>
      <c r="D53" s="1030"/>
      <c r="E53" s="1065"/>
      <c r="F53" s="1066"/>
      <c r="G53" s="1030"/>
      <c r="H53" s="2024"/>
      <c r="I53" s="2215"/>
      <c r="J53" s="1067"/>
      <c r="K53" s="1030"/>
      <c r="L53" s="1065"/>
    </row>
    <row r="54" spans="1:12" ht="11.25" customHeight="1" x14ac:dyDescent="0.25">
      <c r="A54" s="652" t="s">
        <v>2169</v>
      </c>
      <c r="B54" s="1641"/>
      <c r="C54" s="654">
        <v>0</v>
      </c>
      <c r="D54" s="654">
        <v>0</v>
      </c>
      <c r="E54" s="655">
        <v>0</v>
      </c>
      <c r="F54" s="656">
        <v>0</v>
      </c>
      <c r="G54" s="654">
        <v>0</v>
      </c>
      <c r="H54" s="1690">
        <v>0</v>
      </c>
      <c r="I54" s="1694">
        <v>0</v>
      </c>
      <c r="J54" s="657">
        <v>0</v>
      </c>
      <c r="K54" s="654">
        <v>0</v>
      </c>
      <c r="L54" s="655">
        <v>0</v>
      </c>
    </row>
    <row r="55" spans="1:12" ht="11.25" customHeight="1" x14ac:dyDescent="0.25">
      <c r="A55" s="566"/>
      <c r="B55" s="1640"/>
      <c r="C55" s="357"/>
      <c r="D55" s="357"/>
      <c r="E55" s="313"/>
      <c r="F55" s="358"/>
      <c r="G55" s="357"/>
      <c r="H55" s="1691"/>
      <c r="I55" s="1695"/>
      <c r="J55" s="359"/>
      <c r="K55" s="357"/>
      <c r="L55" s="313"/>
    </row>
    <row r="56" spans="1:12" ht="11.25" customHeight="1" x14ac:dyDescent="0.25">
      <c r="A56" s="651" t="s">
        <v>2170</v>
      </c>
      <c r="B56" s="1640"/>
      <c r="C56" s="205"/>
      <c r="D56" s="205"/>
      <c r="E56" s="256"/>
      <c r="F56" s="246"/>
      <c r="G56" s="205"/>
      <c r="H56" s="474"/>
      <c r="I56" s="857"/>
      <c r="J56" s="208"/>
      <c r="K56" s="205"/>
      <c r="L56" s="256"/>
    </row>
    <row r="57" spans="1:12" ht="11.25" customHeight="1" x14ac:dyDescent="0.25">
      <c r="A57" s="2560" t="s">
        <v>1099</v>
      </c>
      <c r="B57" s="1640">
        <v>4</v>
      </c>
      <c r="C57" s="1030"/>
      <c r="D57" s="1030"/>
      <c r="E57" s="1065"/>
      <c r="F57" s="1066"/>
      <c r="G57" s="1030"/>
      <c r="H57" s="2024"/>
      <c r="I57" s="2215"/>
      <c r="J57" s="1067"/>
      <c r="K57" s="1030"/>
      <c r="L57" s="1065"/>
    </row>
    <row r="58" spans="1:12" ht="11.25" customHeight="1" x14ac:dyDescent="0.25">
      <c r="A58" s="2477"/>
      <c r="B58" s="1640"/>
      <c r="C58" s="1030"/>
      <c r="D58" s="1030"/>
      <c r="E58" s="1065"/>
      <c r="F58" s="1066"/>
      <c r="G58" s="1030"/>
      <c r="H58" s="2024"/>
      <c r="I58" s="2215"/>
      <c r="J58" s="1067"/>
      <c r="K58" s="1030"/>
      <c r="L58" s="1065"/>
    </row>
    <row r="59" spans="1:12" ht="11.25" customHeight="1" x14ac:dyDescent="0.25">
      <c r="A59" s="2477"/>
      <c r="B59" s="1640"/>
      <c r="C59" s="1030"/>
      <c r="D59" s="1030"/>
      <c r="E59" s="1065"/>
      <c r="F59" s="1066"/>
      <c r="G59" s="1030"/>
      <c r="H59" s="2024"/>
      <c r="I59" s="2215"/>
      <c r="J59" s="1067"/>
      <c r="K59" s="1030"/>
      <c r="L59" s="1065"/>
    </row>
    <row r="60" spans="1:12" ht="11.25" customHeight="1" x14ac:dyDescent="0.25">
      <c r="A60" s="1274" t="s">
        <v>2171</v>
      </c>
      <c r="B60" s="1641"/>
      <c r="C60" s="654">
        <v>0</v>
      </c>
      <c r="D60" s="654">
        <v>0</v>
      </c>
      <c r="E60" s="655">
        <v>0</v>
      </c>
      <c r="F60" s="656">
        <v>0</v>
      </c>
      <c r="G60" s="654">
        <v>0</v>
      </c>
      <c r="H60" s="1690">
        <v>0</v>
      </c>
      <c r="I60" s="1694">
        <v>0</v>
      </c>
      <c r="J60" s="657">
        <v>0</v>
      </c>
      <c r="K60" s="654">
        <v>0</v>
      </c>
      <c r="L60" s="655">
        <v>0</v>
      </c>
    </row>
    <row r="61" spans="1:12" ht="11.25" customHeight="1" x14ac:dyDescent="0.25">
      <c r="A61" s="1684"/>
      <c r="B61" s="1640"/>
      <c r="C61" s="357"/>
      <c r="D61" s="357"/>
      <c r="E61" s="313"/>
      <c r="F61" s="358"/>
      <c r="G61" s="357"/>
      <c r="H61" s="1691"/>
      <c r="I61" s="1695"/>
      <c r="J61" s="359"/>
      <c r="K61" s="357"/>
      <c r="L61" s="313"/>
    </row>
    <row r="62" spans="1:12" ht="11.25" customHeight="1" x14ac:dyDescent="0.25">
      <c r="A62" s="651" t="s">
        <v>2041</v>
      </c>
      <c r="B62" s="1640"/>
      <c r="C62" s="205"/>
      <c r="D62" s="205"/>
      <c r="E62" s="256"/>
      <c r="F62" s="246"/>
      <c r="G62" s="205"/>
      <c r="H62" s="474"/>
      <c r="I62" s="857"/>
      <c r="J62" s="208"/>
      <c r="K62" s="205"/>
      <c r="L62" s="256"/>
    </row>
    <row r="63" spans="1:12" ht="11.25" customHeight="1" x14ac:dyDescent="0.25">
      <c r="A63" s="2560" t="s">
        <v>1099</v>
      </c>
      <c r="B63" s="1640">
        <v>5</v>
      </c>
      <c r="C63" s="1030"/>
      <c r="D63" s="1030"/>
      <c r="E63" s="1065"/>
      <c r="F63" s="1066"/>
      <c r="G63" s="1030"/>
      <c r="H63" s="2024"/>
      <c r="I63" s="2215"/>
      <c r="J63" s="1067"/>
      <c r="K63" s="1030"/>
      <c r="L63" s="1065"/>
    </row>
    <row r="64" spans="1:12" ht="11.25" customHeight="1" x14ac:dyDescent="0.25">
      <c r="A64" s="2477"/>
      <c r="B64" s="1640"/>
      <c r="C64" s="1030"/>
      <c r="D64" s="1030"/>
      <c r="E64" s="1065"/>
      <c r="F64" s="1066"/>
      <c r="G64" s="1030"/>
      <c r="H64" s="2024"/>
      <c r="I64" s="2215"/>
      <c r="J64" s="1067"/>
      <c r="K64" s="1030"/>
      <c r="L64" s="1065"/>
    </row>
    <row r="65" spans="1:12" ht="11.25" customHeight="1" x14ac:dyDescent="0.25">
      <c r="A65" s="2477"/>
      <c r="B65" s="1640"/>
      <c r="C65" s="1030"/>
      <c r="D65" s="1030"/>
      <c r="E65" s="1065"/>
      <c r="F65" s="1066"/>
      <c r="G65" s="1030"/>
      <c r="H65" s="2024"/>
      <c r="I65" s="2215"/>
      <c r="J65" s="1067"/>
      <c r="K65" s="1030"/>
      <c r="L65" s="1065"/>
    </row>
    <row r="66" spans="1:12" ht="11.25" customHeight="1" x14ac:dyDescent="0.25">
      <c r="A66" s="1274" t="s">
        <v>2172</v>
      </c>
      <c r="B66" s="1641"/>
      <c r="C66" s="654">
        <v>0</v>
      </c>
      <c r="D66" s="654">
        <v>0</v>
      </c>
      <c r="E66" s="655">
        <v>0</v>
      </c>
      <c r="F66" s="656">
        <v>0</v>
      </c>
      <c r="G66" s="654">
        <v>0</v>
      </c>
      <c r="H66" s="1690">
        <v>0</v>
      </c>
      <c r="I66" s="1694">
        <v>0</v>
      </c>
      <c r="J66" s="657">
        <v>0</v>
      </c>
      <c r="K66" s="654">
        <v>0</v>
      </c>
      <c r="L66" s="655">
        <v>0</v>
      </c>
    </row>
    <row r="67" spans="1:12" ht="15" customHeight="1" x14ac:dyDescent="0.25">
      <c r="A67" s="659" t="s">
        <v>2173</v>
      </c>
      <c r="B67" s="1642"/>
      <c r="C67" s="224">
        <v>0</v>
      </c>
      <c r="D67" s="224">
        <v>0</v>
      </c>
      <c r="E67" s="320">
        <v>0</v>
      </c>
      <c r="F67" s="321">
        <v>0</v>
      </c>
      <c r="G67" s="224">
        <v>0</v>
      </c>
      <c r="H67" s="1692">
        <v>0</v>
      </c>
      <c r="I67" s="1696">
        <v>0</v>
      </c>
      <c r="J67" s="223">
        <v>0</v>
      </c>
      <c r="K67" s="224">
        <v>0</v>
      </c>
      <c r="L67" s="320">
        <v>0</v>
      </c>
    </row>
    <row r="68" spans="1:12" ht="15" customHeight="1" x14ac:dyDescent="0.25">
      <c r="A68" s="659" t="s">
        <v>311</v>
      </c>
      <c r="B68" s="1642">
        <v>6</v>
      </c>
      <c r="C68" s="224">
        <v>3404607.72</v>
      </c>
      <c r="D68" s="224">
        <v>2658653.4800000004</v>
      </c>
      <c r="E68" s="320">
        <v>3547815.1500000004</v>
      </c>
      <c r="F68" s="321">
        <v>3483076</v>
      </c>
      <c r="G68" s="224">
        <v>3558106.1428571427</v>
      </c>
      <c r="H68" s="1692">
        <v>3558106.1428571427</v>
      </c>
      <c r="I68" s="1696">
        <v>3558106.1428571427</v>
      </c>
      <c r="J68" s="223">
        <v>4985825.6831999999</v>
      </c>
      <c r="K68" s="224">
        <v>5284975.224192</v>
      </c>
      <c r="L68" s="320">
        <v>5602073.7376435203</v>
      </c>
    </row>
    <row r="69" spans="1:12" ht="11.25" customHeight="1" x14ac:dyDescent="0.25">
      <c r="A69" s="2571" t="s">
        <v>986</v>
      </c>
      <c r="B69" s="388"/>
      <c r="C69" s="234"/>
      <c r="D69" s="234"/>
      <c r="E69" s="234"/>
      <c r="F69" s="234"/>
      <c r="G69" s="234"/>
      <c r="H69" s="234"/>
      <c r="I69" s="234"/>
      <c r="J69" s="234"/>
      <c r="K69" s="234"/>
      <c r="L69" s="234"/>
    </row>
    <row r="70" spans="1:12" x14ac:dyDescent="0.25">
      <c r="A70" s="2572" t="s">
        <v>1342</v>
      </c>
    </row>
    <row r="71" spans="1:12" x14ac:dyDescent="0.25">
      <c r="A71" s="2572" t="s">
        <v>1299</v>
      </c>
    </row>
    <row r="72" spans="1:12" x14ac:dyDescent="0.25">
      <c r="A72" s="2572" t="s">
        <v>1400</v>
      </c>
    </row>
    <row r="73" spans="1:12" x14ac:dyDescent="0.25">
      <c r="A73" s="2572" t="s">
        <v>1735</v>
      </c>
    </row>
    <row r="74" spans="1:12" x14ac:dyDescent="0.25">
      <c r="A74" s="2572" t="s">
        <v>2043</v>
      </c>
    </row>
    <row r="75" spans="1:12" x14ac:dyDescent="0.25">
      <c r="A75" s="2572" t="s">
        <v>2042</v>
      </c>
    </row>
  </sheetData>
  <mergeCells count="2">
    <mergeCell ref="J2:L2"/>
    <mergeCell ref="F2:I2"/>
  </mergeCells>
  <phoneticPr fontId="4" type="noConversion"/>
  <pageMargins left="0.75" right="0.75" top="1" bottom="1" header="0.5" footer="0.5"/>
  <pageSetup scale="6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enableFormatConditionsCalculation="0">
    <tabColor indexed="42"/>
    <pageSetUpPr fitToPage="1"/>
  </sheetPr>
  <dimension ref="A1:U195"/>
  <sheetViews>
    <sheetView showGridLines="0" tabSelected="1" workbookViewId="0">
      <pane xSplit="2" ySplit="4" topLeftCell="C5"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11" width="9.28515625" style="33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46" t="s">
        <v>2543</v>
      </c>
      <c r="B1" s="146"/>
      <c r="C1" s="1997"/>
      <c r="D1" s="1997"/>
      <c r="E1" s="1997"/>
      <c r="F1" s="1997"/>
      <c r="G1" s="1997"/>
      <c r="H1" s="1997"/>
      <c r="I1" s="1997"/>
      <c r="J1" s="1997"/>
      <c r="K1" s="1997"/>
    </row>
    <row r="2" spans="1:12" ht="28.5" customHeight="1" x14ac:dyDescent="0.25">
      <c r="A2" s="786" t="s">
        <v>1649</v>
      </c>
      <c r="B2" s="379" t="s">
        <v>429</v>
      </c>
      <c r="C2" s="149" t="s">
        <v>2478</v>
      </c>
      <c r="D2" s="634" t="s">
        <v>2479</v>
      </c>
      <c r="E2" s="1996" t="s">
        <v>2480</v>
      </c>
      <c r="F2" s="2700" t="s">
        <v>2481</v>
      </c>
      <c r="G2" s="2701"/>
      <c r="H2" s="2705"/>
      <c r="I2" s="2698" t="s">
        <v>2482</v>
      </c>
      <c r="J2" s="2698"/>
      <c r="K2" s="2699"/>
    </row>
    <row r="3" spans="1:12" ht="25.5" x14ac:dyDescent="0.25">
      <c r="A3" s="179" t="s">
        <v>667</v>
      </c>
      <c r="B3" s="791"/>
      <c r="C3" s="2009" t="s">
        <v>1065</v>
      </c>
      <c r="D3" s="2016" t="s">
        <v>1065</v>
      </c>
      <c r="E3" s="354" t="s">
        <v>1065</v>
      </c>
      <c r="F3" s="2004" t="s">
        <v>467</v>
      </c>
      <c r="G3" s="2009" t="s">
        <v>1807</v>
      </c>
      <c r="H3" s="354" t="s">
        <v>1808</v>
      </c>
      <c r="I3" s="2018" t="s">
        <v>2483</v>
      </c>
      <c r="J3" s="2009" t="s">
        <v>2484</v>
      </c>
      <c r="K3" s="354" t="s">
        <v>2485</v>
      </c>
    </row>
    <row r="4" spans="1:12" x14ac:dyDescent="0.25">
      <c r="A4" s="244"/>
      <c r="B4" s="181">
        <v>1</v>
      </c>
      <c r="C4" s="318" t="s">
        <v>409</v>
      </c>
      <c r="D4" s="318" t="s">
        <v>1344</v>
      </c>
      <c r="E4" s="2573" t="s">
        <v>498</v>
      </c>
      <c r="F4" s="2574" t="s">
        <v>548</v>
      </c>
      <c r="G4" s="318" t="s">
        <v>1558</v>
      </c>
      <c r="H4" s="2573" t="s">
        <v>1559</v>
      </c>
      <c r="I4" s="1769" t="s">
        <v>1560</v>
      </c>
      <c r="J4" s="318" t="s">
        <v>562</v>
      </c>
      <c r="K4" s="2573" t="s">
        <v>563</v>
      </c>
    </row>
    <row r="5" spans="1:12" ht="11.25" customHeight="1" x14ac:dyDescent="0.25">
      <c r="A5" s="244" t="s">
        <v>764</v>
      </c>
      <c r="B5" s="181"/>
      <c r="C5" s="205"/>
      <c r="D5" s="205"/>
      <c r="E5" s="256"/>
      <c r="F5" s="246"/>
      <c r="G5" s="205"/>
      <c r="H5" s="256"/>
      <c r="I5" s="208"/>
      <c r="J5" s="205"/>
      <c r="K5" s="256"/>
    </row>
    <row r="6" spans="1:12" ht="11.25" customHeight="1" x14ac:dyDescent="0.25">
      <c r="A6" s="245" t="s">
        <v>1309</v>
      </c>
      <c r="B6" s="181"/>
      <c r="C6" s="1030">
        <v>1422017.14</v>
      </c>
      <c r="D6" s="1030">
        <v>1513951.65</v>
      </c>
      <c r="E6" s="1065">
        <v>1602336.03</v>
      </c>
      <c r="F6" s="1066">
        <v>1650000</v>
      </c>
      <c r="G6" s="1030">
        <v>1850000</v>
      </c>
      <c r="H6" s="1065">
        <v>1850000</v>
      </c>
      <c r="I6" s="1067">
        <v>1829572.0128000004</v>
      </c>
      <c r="J6" s="1030">
        <v>1939346.3335680005</v>
      </c>
      <c r="K6" s="1065">
        <v>2055707.1135820807</v>
      </c>
    </row>
    <row r="7" spans="1:12" ht="11.25" customHeight="1" x14ac:dyDescent="0.25">
      <c r="A7" s="245" t="s">
        <v>2060</v>
      </c>
      <c r="B7" s="181"/>
      <c r="C7" s="1030">
        <v>169380.83</v>
      </c>
      <c r="D7" s="1030">
        <v>179436.21</v>
      </c>
      <c r="E7" s="1065">
        <v>150135.84000000003</v>
      </c>
      <c r="F7" s="1066">
        <v>200000</v>
      </c>
      <c r="G7" s="1030">
        <v>199548</v>
      </c>
      <c r="H7" s="1065">
        <v>199548</v>
      </c>
      <c r="I7" s="1067">
        <v>200891.01600000003</v>
      </c>
      <c r="J7" s="1030">
        <v>212944.47696000006</v>
      </c>
      <c r="K7" s="1065">
        <v>225721.14557760008</v>
      </c>
    </row>
    <row r="8" spans="1:12" ht="11.25" customHeight="1" x14ac:dyDescent="0.25">
      <c r="A8" s="245" t="s">
        <v>765</v>
      </c>
      <c r="B8" s="181"/>
      <c r="C8" s="1030">
        <v>0</v>
      </c>
      <c r="D8" s="1030">
        <v>0</v>
      </c>
      <c r="E8" s="1065">
        <v>0</v>
      </c>
      <c r="F8" s="1066">
        <v>0</v>
      </c>
      <c r="G8" s="1030">
        <v>0</v>
      </c>
      <c r="H8" s="1065">
        <v>0</v>
      </c>
      <c r="I8" s="1067">
        <v>0</v>
      </c>
      <c r="J8" s="1030">
        <v>0</v>
      </c>
      <c r="K8" s="1065">
        <v>0</v>
      </c>
    </row>
    <row r="9" spans="1:12" ht="11.25" customHeight="1" x14ac:dyDescent="0.25">
      <c r="A9" s="245" t="s">
        <v>2218</v>
      </c>
      <c r="B9" s="181"/>
      <c r="C9" s="1030">
        <v>0</v>
      </c>
      <c r="D9" s="1030">
        <v>0</v>
      </c>
      <c r="E9" s="1065">
        <v>0</v>
      </c>
      <c r="F9" s="1066">
        <v>0</v>
      </c>
      <c r="G9" s="1030">
        <v>0</v>
      </c>
      <c r="H9" s="1065">
        <v>0</v>
      </c>
      <c r="I9" s="1067">
        <v>0</v>
      </c>
      <c r="J9" s="1030">
        <v>0</v>
      </c>
      <c r="K9" s="1065">
        <v>0</v>
      </c>
      <c r="L9" s="338"/>
    </row>
    <row r="10" spans="1:12" ht="11.25" customHeight="1" x14ac:dyDescent="0.25">
      <c r="A10" s="189" t="s">
        <v>2061</v>
      </c>
      <c r="B10" s="181"/>
      <c r="C10" s="1030">
        <v>0</v>
      </c>
      <c r="D10" s="1030">
        <v>0</v>
      </c>
      <c r="E10" s="1065">
        <v>0</v>
      </c>
      <c r="F10" s="1066">
        <v>0</v>
      </c>
      <c r="G10" s="1030">
        <v>0</v>
      </c>
      <c r="H10" s="1065">
        <v>0</v>
      </c>
      <c r="I10" s="1067">
        <v>0</v>
      </c>
      <c r="J10" s="1030">
        <v>0</v>
      </c>
      <c r="K10" s="1065">
        <v>0</v>
      </c>
      <c r="L10" s="338"/>
    </row>
    <row r="11" spans="1:12" ht="11.25" customHeight="1" x14ac:dyDescent="0.25">
      <c r="A11" s="189" t="s">
        <v>2219</v>
      </c>
      <c r="B11" s="181"/>
      <c r="C11" s="1030">
        <v>0</v>
      </c>
      <c r="D11" s="1030">
        <v>0</v>
      </c>
      <c r="E11" s="1065">
        <v>0</v>
      </c>
      <c r="F11" s="1066">
        <v>0</v>
      </c>
      <c r="G11" s="1030">
        <v>0</v>
      </c>
      <c r="H11" s="1065">
        <v>0</v>
      </c>
      <c r="I11" s="1067">
        <v>0</v>
      </c>
      <c r="J11" s="1030">
        <v>0</v>
      </c>
      <c r="K11" s="1065">
        <v>0</v>
      </c>
      <c r="L11" s="338"/>
    </row>
    <row r="12" spans="1:12" ht="11.25" customHeight="1" x14ac:dyDescent="0.25">
      <c r="A12" s="189" t="s">
        <v>1543</v>
      </c>
      <c r="B12" s="181"/>
      <c r="C12" s="1030">
        <v>0</v>
      </c>
      <c r="D12" s="1030">
        <v>0</v>
      </c>
      <c r="E12" s="1065">
        <v>0</v>
      </c>
      <c r="F12" s="1066">
        <v>0</v>
      </c>
      <c r="G12" s="1030">
        <v>0</v>
      </c>
      <c r="H12" s="1065">
        <v>0</v>
      </c>
      <c r="I12" s="1067">
        <v>0</v>
      </c>
      <c r="J12" s="1030">
        <v>0</v>
      </c>
      <c r="K12" s="1065">
        <v>0</v>
      </c>
      <c r="L12" s="338"/>
    </row>
    <row r="13" spans="1:12" ht="11.25" customHeight="1" x14ac:dyDescent="0.25">
      <c r="A13" s="257" t="s">
        <v>766</v>
      </c>
      <c r="B13" s="181"/>
      <c r="C13" s="259">
        <v>1591397.97</v>
      </c>
      <c r="D13" s="259">
        <v>1693387.8599999999</v>
      </c>
      <c r="E13" s="260">
        <v>1752471.87</v>
      </c>
      <c r="F13" s="261">
        <v>1850000</v>
      </c>
      <c r="G13" s="259">
        <v>2049548</v>
      </c>
      <c r="H13" s="260">
        <v>2049548</v>
      </c>
      <c r="I13" s="258">
        <v>2030463.0288000004</v>
      </c>
      <c r="J13" s="259">
        <v>2152290.8105280004</v>
      </c>
      <c r="K13" s="260">
        <v>2281428.2591596809</v>
      </c>
      <c r="L13" s="338"/>
    </row>
    <row r="14" spans="1:12" ht="11.25" customHeight="1" x14ac:dyDescent="0.25">
      <c r="A14" s="341" t="s">
        <v>930</v>
      </c>
      <c r="B14" s="181">
        <v>4</v>
      </c>
      <c r="C14" s="661"/>
      <c r="D14" s="2575">
        <v>6.408823683493825E-2</v>
      </c>
      <c r="E14" s="2576">
        <v>3.489100837182102E-2</v>
      </c>
      <c r="F14" s="2577">
        <v>5.5651752059221238E-2</v>
      </c>
      <c r="G14" s="2575">
        <v>0.1078637837837837</v>
      </c>
      <c r="H14" s="2576">
        <v>0</v>
      </c>
      <c r="I14" s="2577">
        <v>-9.3117951860602899E-3</v>
      </c>
      <c r="J14" s="2575">
        <v>6.0000000000000053E-2</v>
      </c>
      <c r="K14" s="2576">
        <v>6.0000000000000275E-2</v>
      </c>
      <c r="L14" s="338"/>
    </row>
    <row r="15" spans="1:12" ht="5.0999999999999996" customHeight="1" x14ac:dyDescent="0.25">
      <c r="A15" s="265"/>
      <c r="B15" s="181"/>
      <c r="C15" s="456"/>
      <c r="D15" s="456"/>
      <c r="E15" s="206"/>
      <c r="F15" s="455"/>
      <c r="G15" s="456"/>
      <c r="H15" s="206"/>
      <c r="I15" s="331"/>
      <c r="J15" s="456"/>
      <c r="K15" s="206"/>
      <c r="L15" s="338"/>
    </row>
    <row r="16" spans="1:12" ht="11.25" customHeight="1" x14ac:dyDescent="0.25">
      <c r="A16" s="244" t="s">
        <v>1308</v>
      </c>
      <c r="B16" s="181">
        <v>2</v>
      </c>
      <c r="C16" s="205"/>
      <c r="D16" s="205"/>
      <c r="E16" s="256"/>
      <c r="F16" s="246"/>
      <c r="G16" s="205"/>
      <c r="H16" s="256"/>
      <c r="I16" s="208"/>
      <c r="J16" s="205"/>
      <c r="K16" s="256"/>
      <c r="L16" s="338"/>
    </row>
    <row r="17" spans="1:12" ht="11.25" customHeight="1" x14ac:dyDescent="0.25">
      <c r="A17" s="189" t="s">
        <v>1309</v>
      </c>
      <c r="B17" s="181"/>
      <c r="C17" s="1030">
        <v>1325623.5099999995</v>
      </c>
      <c r="D17" s="1030">
        <v>1529450.43</v>
      </c>
      <c r="E17" s="1065">
        <v>1651665.39</v>
      </c>
      <c r="F17" s="1066">
        <v>1669940</v>
      </c>
      <c r="G17" s="1030">
        <v>1669940</v>
      </c>
      <c r="H17" s="1065">
        <v>1669940</v>
      </c>
      <c r="I17" s="1067">
        <v>1690080.6262719999</v>
      </c>
      <c r="J17" s="1030">
        <v>1791485.4638483201</v>
      </c>
      <c r="K17" s="1065">
        <v>1898974.5916792194</v>
      </c>
      <c r="L17" s="338"/>
    </row>
    <row r="18" spans="1:12" ht="11.25" customHeight="1" x14ac:dyDescent="0.25">
      <c r="A18" s="189" t="s">
        <v>2060</v>
      </c>
      <c r="B18" s="181"/>
      <c r="C18" s="1030">
        <v>205695.88999999998</v>
      </c>
      <c r="D18" s="1030">
        <v>168891</v>
      </c>
      <c r="E18" s="1065">
        <v>206228.24000000005</v>
      </c>
      <c r="F18" s="1066">
        <v>280488.87</v>
      </c>
      <c r="G18" s="1030">
        <v>280488.87</v>
      </c>
      <c r="H18" s="1065">
        <v>280488.87</v>
      </c>
      <c r="I18" s="1067">
        <v>561627.12</v>
      </c>
      <c r="J18" s="1030">
        <v>595324.74719999998</v>
      </c>
      <c r="K18" s="1065">
        <v>631044.23203199997</v>
      </c>
      <c r="L18" s="338"/>
    </row>
    <row r="19" spans="1:12" ht="11.25" customHeight="1" x14ac:dyDescent="0.25">
      <c r="A19" s="189" t="s">
        <v>765</v>
      </c>
      <c r="B19" s="181"/>
      <c r="C19" s="1030">
        <v>35424</v>
      </c>
      <c r="D19" s="1030">
        <v>74100</v>
      </c>
      <c r="E19" s="1065">
        <v>37188</v>
      </c>
      <c r="F19" s="1066">
        <v>113233.8</v>
      </c>
      <c r="G19" s="1030">
        <v>113233.8</v>
      </c>
      <c r="H19" s="1065">
        <v>113233.8</v>
      </c>
      <c r="I19" s="1067">
        <v>139296</v>
      </c>
      <c r="J19" s="1030">
        <v>147653.76000000001</v>
      </c>
      <c r="K19" s="1065">
        <v>156512.98560000001</v>
      </c>
      <c r="L19" s="338"/>
    </row>
    <row r="20" spans="1:12" ht="11.25" customHeight="1" x14ac:dyDescent="0.25">
      <c r="A20" s="189" t="s">
        <v>1095</v>
      </c>
      <c r="B20" s="181"/>
      <c r="C20" s="1030">
        <v>0</v>
      </c>
      <c r="D20" s="1030">
        <v>0</v>
      </c>
      <c r="E20" s="1065">
        <v>0</v>
      </c>
      <c r="F20" s="1066">
        <v>0</v>
      </c>
      <c r="G20" s="1030">
        <v>0</v>
      </c>
      <c r="H20" s="1065">
        <v>0</v>
      </c>
      <c r="I20" s="1067">
        <v>0</v>
      </c>
      <c r="J20" s="1030">
        <v>0</v>
      </c>
      <c r="K20" s="1065">
        <v>0</v>
      </c>
      <c r="L20" s="338"/>
    </row>
    <row r="21" spans="1:12" ht="11.25" customHeight="1" x14ac:dyDescent="0.25">
      <c r="A21" s="189" t="s">
        <v>767</v>
      </c>
      <c r="B21" s="181"/>
      <c r="C21" s="1030">
        <v>212480.47999999998</v>
      </c>
      <c r="D21" s="1030">
        <v>0</v>
      </c>
      <c r="E21" s="1065">
        <v>248501.24</v>
      </c>
      <c r="F21" s="1066">
        <v>0</v>
      </c>
      <c r="G21" s="1030">
        <v>0</v>
      </c>
      <c r="H21" s="1065">
        <v>0</v>
      </c>
      <c r="I21" s="1067">
        <v>0</v>
      </c>
      <c r="J21" s="1030">
        <v>0</v>
      </c>
      <c r="K21" s="1065">
        <v>0</v>
      </c>
      <c r="L21" s="338"/>
    </row>
    <row r="22" spans="1:12" ht="11.25" customHeight="1" x14ac:dyDescent="0.25">
      <c r="A22" s="189" t="s">
        <v>2218</v>
      </c>
      <c r="B22" s="181">
        <v>3</v>
      </c>
      <c r="C22" s="1030">
        <v>384297.84000000008</v>
      </c>
      <c r="D22" s="1030">
        <v>439632</v>
      </c>
      <c r="E22" s="1065">
        <v>377096.5</v>
      </c>
      <c r="F22" s="1066">
        <v>397123.8</v>
      </c>
      <c r="G22" s="1030">
        <v>397123.8</v>
      </c>
      <c r="H22" s="1065">
        <v>397123.8</v>
      </c>
      <c r="I22" s="1067">
        <v>493123.8</v>
      </c>
      <c r="J22" s="1030">
        <v>522711.228</v>
      </c>
      <c r="K22" s="1065">
        <v>554073.90168000001</v>
      </c>
      <c r="L22" s="338"/>
    </row>
    <row r="23" spans="1:12" ht="11.25" customHeight="1" x14ac:dyDescent="0.25">
      <c r="A23" s="189" t="s">
        <v>2061</v>
      </c>
      <c r="B23" s="181">
        <v>3</v>
      </c>
      <c r="C23" s="1030">
        <v>16597.080000000002</v>
      </c>
      <c r="D23" s="1030">
        <v>16584.239999999998</v>
      </c>
      <c r="E23" s="1065">
        <v>17311.18</v>
      </c>
      <c r="F23" s="1066">
        <v>20712</v>
      </c>
      <c r="G23" s="1030">
        <v>20712</v>
      </c>
      <c r="H23" s="1065">
        <v>20712</v>
      </c>
      <c r="I23" s="1067">
        <v>20712</v>
      </c>
      <c r="J23" s="1030">
        <v>21954.720000000001</v>
      </c>
      <c r="K23" s="1065">
        <v>23272.003200000003</v>
      </c>
      <c r="L23" s="338"/>
    </row>
    <row r="24" spans="1:12" ht="11.25" customHeight="1" x14ac:dyDescent="0.25">
      <c r="A24" s="189" t="s">
        <v>2219</v>
      </c>
      <c r="B24" s="181">
        <v>3</v>
      </c>
      <c r="C24" s="1030">
        <v>12346.200000000003</v>
      </c>
      <c r="D24" s="1030">
        <v>12346.2</v>
      </c>
      <c r="E24" s="1065">
        <v>12346.2</v>
      </c>
      <c r="F24" s="1066">
        <v>0</v>
      </c>
      <c r="G24" s="1030">
        <v>0</v>
      </c>
      <c r="H24" s="1065">
        <v>0</v>
      </c>
      <c r="I24" s="1067">
        <v>0</v>
      </c>
      <c r="J24" s="1030">
        <v>0</v>
      </c>
      <c r="K24" s="1065">
        <v>0</v>
      </c>
      <c r="L24" s="338"/>
    </row>
    <row r="25" spans="1:12" ht="11.25" customHeight="1" x14ac:dyDescent="0.25">
      <c r="A25" s="189" t="s">
        <v>1543</v>
      </c>
      <c r="B25" s="181">
        <v>3</v>
      </c>
      <c r="C25" s="1030">
        <v>0</v>
      </c>
      <c r="D25" s="1030">
        <v>0</v>
      </c>
      <c r="E25" s="1065">
        <v>0</v>
      </c>
      <c r="F25" s="1066">
        <v>0</v>
      </c>
      <c r="G25" s="1030">
        <v>0</v>
      </c>
      <c r="H25" s="1065">
        <v>0</v>
      </c>
      <c r="I25" s="1067">
        <v>0</v>
      </c>
      <c r="J25" s="1030">
        <v>0</v>
      </c>
      <c r="K25" s="1065">
        <v>0</v>
      </c>
      <c r="L25" s="338"/>
    </row>
    <row r="26" spans="1:12" ht="11.25" customHeight="1" x14ac:dyDescent="0.25">
      <c r="A26" s="189" t="s">
        <v>1672</v>
      </c>
      <c r="B26" s="181"/>
      <c r="C26" s="1030">
        <v>0</v>
      </c>
      <c r="D26" s="1030">
        <v>0</v>
      </c>
      <c r="E26" s="1065">
        <v>0</v>
      </c>
      <c r="F26" s="1066">
        <v>0</v>
      </c>
      <c r="G26" s="1030">
        <v>0</v>
      </c>
      <c r="H26" s="1065">
        <v>0</v>
      </c>
      <c r="I26" s="1067">
        <v>104976.352</v>
      </c>
      <c r="J26" s="1030">
        <v>111274.93312</v>
      </c>
      <c r="K26" s="1065">
        <v>117951.42910720001</v>
      </c>
      <c r="L26" s="338"/>
    </row>
    <row r="27" spans="1:12" ht="11.25" customHeight="1" x14ac:dyDescent="0.25">
      <c r="A27" s="189" t="s">
        <v>1096</v>
      </c>
      <c r="B27" s="181"/>
      <c r="C27" s="1030">
        <v>0</v>
      </c>
      <c r="D27" s="1030">
        <v>0</v>
      </c>
      <c r="E27" s="1065">
        <v>0</v>
      </c>
      <c r="F27" s="1066">
        <v>0</v>
      </c>
      <c r="G27" s="1030">
        <v>0</v>
      </c>
      <c r="H27" s="1065">
        <v>0</v>
      </c>
      <c r="I27" s="1067">
        <v>0</v>
      </c>
      <c r="J27" s="1030">
        <v>0</v>
      </c>
      <c r="K27" s="1065">
        <v>0</v>
      </c>
      <c r="L27" s="338"/>
    </row>
    <row r="28" spans="1:12" ht="11.25" customHeight="1" x14ac:dyDescent="0.25">
      <c r="A28" s="189" t="s">
        <v>1673</v>
      </c>
      <c r="B28" s="181">
        <v>6</v>
      </c>
      <c r="C28" s="1030">
        <v>0</v>
      </c>
      <c r="D28" s="1030">
        <v>0</v>
      </c>
      <c r="E28" s="1065">
        <v>0</v>
      </c>
      <c r="F28" s="1066">
        <v>0</v>
      </c>
      <c r="G28" s="1030">
        <v>0</v>
      </c>
      <c r="H28" s="1065">
        <v>0</v>
      </c>
      <c r="I28" s="1067">
        <v>0</v>
      </c>
      <c r="J28" s="1030">
        <v>0</v>
      </c>
      <c r="K28" s="1065">
        <v>0</v>
      </c>
      <c r="L28" s="338"/>
    </row>
    <row r="29" spans="1:12" ht="11.25" customHeight="1" x14ac:dyDescent="0.25">
      <c r="A29" s="257" t="s">
        <v>768</v>
      </c>
      <c r="B29" s="181"/>
      <c r="C29" s="259">
        <v>2192465</v>
      </c>
      <c r="D29" s="259">
        <v>2241003.87</v>
      </c>
      <c r="E29" s="260">
        <v>2550336.7500000005</v>
      </c>
      <c r="F29" s="261">
        <v>2481498.4700000002</v>
      </c>
      <c r="G29" s="259">
        <v>2481498.4700000002</v>
      </c>
      <c r="H29" s="260">
        <v>2481498.4700000002</v>
      </c>
      <c r="I29" s="258">
        <v>3009815.8982719998</v>
      </c>
      <c r="J29" s="259">
        <v>3190404.8521683202</v>
      </c>
      <c r="K29" s="260">
        <v>3381829.1432984197</v>
      </c>
      <c r="L29" s="338"/>
    </row>
    <row r="30" spans="1:12" ht="11.25" customHeight="1" x14ac:dyDescent="0.25">
      <c r="A30" s="341" t="s">
        <v>930</v>
      </c>
      <c r="B30" s="181">
        <v>4</v>
      </c>
      <c r="C30" s="661"/>
      <c r="D30" s="2575">
        <v>2.2138948626317934E-2</v>
      </c>
      <c r="E30" s="2578">
        <v>0.13803317528407488</v>
      </c>
      <c r="F30" s="2579">
        <v>-2.6991839411011243E-2</v>
      </c>
      <c r="G30" s="2575">
        <v>0</v>
      </c>
      <c r="H30" s="2578">
        <v>0</v>
      </c>
      <c r="I30" s="2580">
        <v>0.21290258070237678</v>
      </c>
      <c r="J30" s="2575">
        <v>6.0000000000000053E-2</v>
      </c>
      <c r="K30" s="2578">
        <v>6.0000000000000053E-2</v>
      </c>
      <c r="L30" s="338"/>
    </row>
    <row r="31" spans="1:12" ht="5.0999999999999996" customHeight="1" x14ac:dyDescent="0.25">
      <c r="A31" s="265"/>
      <c r="B31" s="181"/>
      <c r="C31" s="456"/>
      <c r="D31" s="456"/>
      <c r="E31" s="206"/>
      <c r="F31" s="455"/>
      <c r="G31" s="456"/>
      <c r="H31" s="206"/>
      <c r="I31" s="331"/>
      <c r="J31" s="456"/>
      <c r="K31" s="206"/>
      <c r="L31" s="338"/>
    </row>
    <row r="32" spans="1:12" ht="11.25" customHeight="1" x14ac:dyDescent="0.25">
      <c r="A32" s="244" t="s">
        <v>769</v>
      </c>
      <c r="B32" s="181"/>
      <c r="C32" s="205"/>
      <c r="D32" s="205"/>
      <c r="E32" s="256"/>
      <c r="F32" s="246"/>
      <c r="G32" s="205"/>
      <c r="H32" s="256"/>
      <c r="I32" s="208"/>
      <c r="J32" s="205"/>
      <c r="K32" s="256"/>
      <c r="L32" s="338"/>
    </row>
    <row r="33" spans="1:21" ht="11.25" customHeight="1" x14ac:dyDescent="0.25">
      <c r="A33" s="245" t="s">
        <v>1309</v>
      </c>
      <c r="B33" s="181"/>
      <c r="C33" s="1030">
        <v>6674046.6500000013</v>
      </c>
      <c r="D33" s="1030">
        <v>7854755.1999999993</v>
      </c>
      <c r="E33" s="1065">
        <v>10237147.119999997</v>
      </c>
      <c r="F33" s="1066">
        <v>14787652</v>
      </c>
      <c r="G33" s="1030">
        <v>15897619</v>
      </c>
      <c r="H33" s="1065">
        <v>15897619</v>
      </c>
      <c r="I33" s="1067">
        <v>16410462.074528001</v>
      </c>
      <c r="J33" s="1030">
        <v>17395089.798999686</v>
      </c>
      <c r="K33" s="1065">
        <v>18438795.18693966</v>
      </c>
      <c r="L33" s="338"/>
    </row>
    <row r="34" spans="1:21" ht="11.25" customHeight="1" x14ac:dyDescent="0.25">
      <c r="A34" s="245" t="s">
        <v>2060</v>
      </c>
      <c r="B34" s="181"/>
      <c r="C34" s="1030">
        <v>1028270.3899999995</v>
      </c>
      <c r="D34" s="1030">
        <v>1368283.59</v>
      </c>
      <c r="E34" s="1065">
        <v>1555776.2900000003</v>
      </c>
      <c r="F34" s="1066">
        <v>2543802.13</v>
      </c>
      <c r="G34" s="1030">
        <v>2349256.13</v>
      </c>
      <c r="H34" s="1065">
        <v>2349256.13</v>
      </c>
      <c r="I34" s="1067">
        <v>4058310.9575311197</v>
      </c>
      <c r="J34" s="1030">
        <v>4301809.6149829887</v>
      </c>
      <c r="K34" s="1065">
        <v>4559918.1918819658</v>
      </c>
      <c r="L34" s="338"/>
    </row>
    <row r="35" spans="1:21" ht="11.25" customHeight="1" x14ac:dyDescent="0.25">
      <c r="A35" s="245" t="s">
        <v>765</v>
      </c>
      <c r="B35" s="181"/>
      <c r="C35" s="1030">
        <v>198441.49999999997</v>
      </c>
      <c r="D35" s="1030">
        <v>159908.20000000001</v>
      </c>
      <c r="E35" s="1065">
        <v>208143.04</v>
      </c>
      <c r="F35" s="1066">
        <v>99377.2</v>
      </c>
      <c r="G35" s="1030">
        <v>267581.2</v>
      </c>
      <c r="H35" s="1065">
        <v>267581.2</v>
      </c>
      <c r="I35" s="1067">
        <v>255624.96844799997</v>
      </c>
      <c r="J35" s="1030">
        <v>270962.46655488003</v>
      </c>
      <c r="K35" s="1065">
        <v>287220.21454817284</v>
      </c>
      <c r="L35" s="338"/>
    </row>
    <row r="36" spans="1:21" ht="11.25" customHeight="1" x14ac:dyDescent="0.25">
      <c r="A36" s="245" t="s">
        <v>1095</v>
      </c>
      <c r="B36" s="181"/>
      <c r="C36" s="1030">
        <v>532322.35</v>
      </c>
      <c r="D36" s="1030">
        <v>624856.85</v>
      </c>
      <c r="E36" s="1065">
        <v>1102794.6100000001</v>
      </c>
      <c r="F36" s="1066">
        <v>948500</v>
      </c>
      <c r="G36" s="1030">
        <v>1104100</v>
      </c>
      <c r="H36" s="1065">
        <v>1104100</v>
      </c>
      <c r="I36" s="1067">
        <v>1368525.8353600004</v>
      </c>
      <c r="J36" s="1030">
        <v>1450637.3854816</v>
      </c>
      <c r="K36" s="1065">
        <v>1537675.6286104964</v>
      </c>
      <c r="L36" s="338"/>
    </row>
    <row r="37" spans="1:21" ht="11.25" customHeight="1" x14ac:dyDescent="0.25">
      <c r="A37" s="245" t="s">
        <v>767</v>
      </c>
      <c r="B37" s="181"/>
      <c r="C37" s="1030">
        <v>208521.51</v>
      </c>
      <c r="D37" s="1030">
        <v>505658.44000000006</v>
      </c>
      <c r="E37" s="1065">
        <v>395599.21999999986</v>
      </c>
      <c r="F37" s="1066">
        <v>1025735</v>
      </c>
      <c r="G37" s="1030">
        <v>1053899</v>
      </c>
      <c r="H37" s="1065">
        <v>1053899</v>
      </c>
      <c r="I37" s="1067">
        <v>1177958.4516</v>
      </c>
      <c r="J37" s="1030">
        <v>1248635.9586960003</v>
      </c>
      <c r="K37" s="1065">
        <v>1323554.1162177604</v>
      </c>
      <c r="L37" s="338"/>
    </row>
    <row r="38" spans="1:21" ht="11.25" customHeight="1" x14ac:dyDescent="0.25">
      <c r="A38" s="245" t="s">
        <v>2218</v>
      </c>
      <c r="B38" s="181">
        <v>3</v>
      </c>
      <c r="C38" s="1030">
        <v>268826.62</v>
      </c>
      <c r="D38" s="1030">
        <v>218823.56000000006</v>
      </c>
      <c r="E38" s="1065">
        <v>227043.95999999996</v>
      </c>
      <c r="F38" s="1066">
        <v>319556.2</v>
      </c>
      <c r="G38" s="1030">
        <v>375455.2</v>
      </c>
      <c r="H38" s="1065">
        <v>375455.2</v>
      </c>
      <c r="I38" s="1067">
        <v>284901.00000000006</v>
      </c>
      <c r="J38" s="1030">
        <v>301995.05999999994</v>
      </c>
      <c r="K38" s="1065">
        <v>320114.76360000006</v>
      </c>
      <c r="L38" s="338"/>
    </row>
    <row r="39" spans="1:21" ht="11.25" customHeight="1" x14ac:dyDescent="0.25">
      <c r="A39" s="245" t="s">
        <v>2061</v>
      </c>
      <c r="B39" s="181">
        <v>3</v>
      </c>
      <c r="C39" s="1030">
        <v>11395.999999999996</v>
      </c>
      <c r="D39" s="1030">
        <v>9860.9400000000023</v>
      </c>
      <c r="E39" s="1065">
        <v>7432.2000000000007</v>
      </c>
      <c r="F39" s="1066">
        <v>17195</v>
      </c>
      <c r="G39" s="1030">
        <v>22408</v>
      </c>
      <c r="H39" s="1065">
        <v>22408</v>
      </c>
      <c r="I39" s="1067">
        <v>516768.59480000008</v>
      </c>
      <c r="J39" s="1030">
        <v>547774.71048800007</v>
      </c>
      <c r="K39" s="1065">
        <v>580641.19311728014</v>
      </c>
      <c r="L39" s="338"/>
      <c r="O39" s="338"/>
    </row>
    <row r="40" spans="1:21" ht="11.25" customHeight="1" x14ac:dyDescent="0.25">
      <c r="A40" s="245" t="s">
        <v>2219</v>
      </c>
      <c r="B40" s="181">
        <v>3</v>
      </c>
      <c r="C40" s="1030">
        <v>34531.899999999994</v>
      </c>
      <c r="D40" s="1030">
        <v>35617.589999999997</v>
      </c>
      <c r="E40" s="1065">
        <v>34211.839999999997</v>
      </c>
      <c r="F40" s="1066">
        <v>72540</v>
      </c>
      <c r="G40" s="1030">
        <v>77216</v>
      </c>
      <c r="H40" s="1065">
        <v>77216</v>
      </c>
      <c r="I40" s="1067">
        <v>98113.17</v>
      </c>
      <c r="J40" s="1030">
        <v>103999.9602</v>
      </c>
      <c r="K40" s="1065">
        <v>110239.95781199999</v>
      </c>
      <c r="L40" s="338"/>
      <c r="O40" s="338"/>
    </row>
    <row r="41" spans="1:21" ht="11.25" customHeight="1" x14ac:dyDescent="0.25">
      <c r="A41" s="245" t="s">
        <v>1543</v>
      </c>
      <c r="B41" s="181">
        <v>3</v>
      </c>
      <c r="C41" s="1030">
        <v>58542.600000000006</v>
      </c>
      <c r="D41" s="1030">
        <v>61412.98</v>
      </c>
      <c r="E41" s="1065">
        <v>212718.23000000004</v>
      </c>
      <c r="F41" s="1066">
        <v>160950</v>
      </c>
      <c r="G41" s="1030">
        <v>200185</v>
      </c>
      <c r="H41" s="1065">
        <v>200185</v>
      </c>
      <c r="I41" s="1067">
        <v>168585.47552000001</v>
      </c>
      <c r="J41" s="1030">
        <v>178700.6040512</v>
      </c>
      <c r="K41" s="1065">
        <v>189422.64029427205</v>
      </c>
      <c r="L41" s="338"/>
      <c r="O41" s="338"/>
    </row>
    <row r="42" spans="1:21" ht="11.25" customHeight="1" x14ac:dyDescent="0.25">
      <c r="A42" s="245" t="s">
        <v>1672</v>
      </c>
      <c r="B42" s="181"/>
      <c r="C42" s="1030">
        <v>288865.59000000003</v>
      </c>
      <c r="D42" s="1030">
        <v>43547.550000000017</v>
      </c>
      <c r="E42" s="1065">
        <v>604355.27</v>
      </c>
      <c r="F42" s="1066">
        <v>222000</v>
      </c>
      <c r="G42" s="1030">
        <v>229000</v>
      </c>
      <c r="H42" s="1065">
        <v>229000</v>
      </c>
      <c r="I42" s="1067">
        <v>856454.5331</v>
      </c>
      <c r="J42" s="1030">
        <v>907841.80508600012</v>
      </c>
      <c r="K42" s="1065">
        <v>962312.31339116034</v>
      </c>
      <c r="L42" s="338"/>
    </row>
    <row r="43" spans="1:21" ht="11.25" customHeight="1" x14ac:dyDescent="0.25">
      <c r="A43" s="245" t="s">
        <v>1096</v>
      </c>
      <c r="B43" s="181"/>
      <c r="C43" s="1030">
        <v>11323</v>
      </c>
      <c r="D43" s="1030">
        <v>7981</v>
      </c>
      <c r="E43" s="1065">
        <v>4142</v>
      </c>
      <c r="F43" s="1066">
        <v>0</v>
      </c>
      <c r="G43" s="1030">
        <v>0</v>
      </c>
      <c r="H43" s="1065">
        <v>0</v>
      </c>
      <c r="I43" s="1067">
        <v>0</v>
      </c>
      <c r="J43" s="1030">
        <v>0</v>
      </c>
      <c r="K43" s="1065">
        <v>0</v>
      </c>
      <c r="L43" s="338"/>
    </row>
    <row r="44" spans="1:21" ht="11.25" customHeight="1" x14ac:dyDescent="0.25">
      <c r="A44" s="245" t="s">
        <v>1673</v>
      </c>
      <c r="B44" s="181">
        <v>6</v>
      </c>
      <c r="C44" s="1030">
        <v>308460.59999999998</v>
      </c>
      <c r="D44" s="1030">
        <v>79328</v>
      </c>
      <c r="E44" s="1065">
        <v>90364</v>
      </c>
      <c r="F44" s="1066">
        <v>600000</v>
      </c>
      <c r="G44" s="1030">
        <v>397364</v>
      </c>
      <c r="H44" s="1065">
        <v>397364</v>
      </c>
      <c r="I44" s="1067">
        <v>400000</v>
      </c>
      <c r="J44" s="1030">
        <v>424000</v>
      </c>
      <c r="K44" s="1065">
        <v>449440</v>
      </c>
      <c r="L44" s="338"/>
    </row>
    <row r="45" spans="1:21" ht="11.25" customHeight="1" x14ac:dyDescent="0.25">
      <c r="A45" s="257" t="s">
        <v>1817</v>
      </c>
      <c r="B45" s="181"/>
      <c r="C45" s="259">
        <v>9623548.709999999</v>
      </c>
      <c r="D45" s="259">
        <v>10970033.899999999</v>
      </c>
      <c r="E45" s="260">
        <v>14679727.779999997</v>
      </c>
      <c r="F45" s="261">
        <v>20797307.529999997</v>
      </c>
      <c r="G45" s="259">
        <v>21974083.529999997</v>
      </c>
      <c r="H45" s="260">
        <v>21974083.529999997</v>
      </c>
      <c r="I45" s="258">
        <v>25595705.060887124</v>
      </c>
      <c r="J45" s="259">
        <v>27131447.364540353</v>
      </c>
      <c r="K45" s="260">
        <v>28759334.20641277</v>
      </c>
      <c r="L45" s="338"/>
    </row>
    <row r="46" spans="1:21" ht="11.25" customHeight="1" x14ac:dyDescent="0.25">
      <c r="A46" s="341" t="s">
        <v>930</v>
      </c>
      <c r="B46" s="181">
        <v>4</v>
      </c>
      <c r="C46" s="661"/>
      <c r="D46" s="2575">
        <v>0.13991566215078666</v>
      </c>
      <c r="E46" s="2578">
        <v>0.33816612727149353</v>
      </c>
      <c r="F46" s="2579">
        <v>0.41673659359914916</v>
      </c>
      <c r="G46" s="2575">
        <v>5.6583093667413875E-2</v>
      </c>
      <c r="H46" s="2578">
        <v>0</v>
      </c>
      <c r="I46" s="2580">
        <v>0.16481331409989086</v>
      </c>
      <c r="J46" s="2575">
        <v>6.0000000000000053E-2</v>
      </c>
      <c r="K46" s="2578">
        <v>5.9999999999999831E-2</v>
      </c>
      <c r="L46" s="338"/>
    </row>
    <row r="47" spans="1:21" ht="5.0999999999999996" customHeight="1" x14ac:dyDescent="0.25">
      <c r="A47" s="265"/>
      <c r="B47" s="181"/>
      <c r="C47" s="456"/>
      <c r="D47" s="456"/>
      <c r="E47" s="206"/>
      <c r="F47" s="455"/>
      <c r="G47" s="456"/>
      <c r="H47" s="206"/>
      <c r="I47" s="331"/>
      <c r="J47" s="456"/>
      <c r="K47" s="206"/>
      <c r="L47" s="338"/>
    </row>
    <row r="48" spans="1:21" ht="11.25" customHeight="1" x14ac:dyDescent="0.25">
      <c r="A48" s="644" t="s">
        <v>1563</v>
      </c>
      <c r="B48" s="645"/>
      <c r="C48" s="654">
        <v>13407411.68</v>
      </c>
      <c r="D48" s="654">
        <v>14904425.629999999</v>
      </c>
      <c r="E48" s="655">
        <v>18982536.399999999</v>
      </c>
      <c r="F48" s="656">
        <v>25128806</v>
      </c>
      <c r="G48" s="654">
        <v>26505130</v>
      </c>
      <c r="H48" s="655">
        <v>26505130</v>
      </c>
      <c r="I48" s="657">
        <v>30635983.987959124</v>
      </c>
      <c r="J48" s="654">
        <v>32474143.027236674</v>
      </c>
      <c r="K48" s="655">
        <v>34422591.608870871</v>
      </c>
      <c r="L48" s="338"/>
      <c r="M48" s="330">
        <v>0</v>
      </c>
      <c r="N48" s="330">
        <v>0</v>
      </c>
      <c r="O48" s="330">
        <v>0</v>
      </c>
      <c r="P48" s="330">
        <v>0</v>
      </c>
      <c r="Q48" s="330">
        <v>0</v>
      </c>
      <c r="R48" s="330">
        <v>0</v>
      </c>
      <c r="S48" s="330">
        <v>0</v>
      </c>
      <c r="T48" s="330">
        <v>0</v>
      </c>
      <c r="U48" s="330">
        <v>0</v>
      </c>
    </row>
    <row r="49" spans="1:12" ht="11.25" customHeight="1" x14ac:dyDescent="0.25">
      <c r="A49" s="265"/>
      <c r="B49" s="181"/>
      <c r="C49" s="2581"/>
      <c r="D49" s="2575">
        <v>0.11165570102043731</v>
      </c>
      <c r="E49" s="2578">
        <v>0.2736174389566195</v>
      </c>
      <c r="F49" s="2579">
        <v>0.32378547684491732</v>
      </c>
      <c r="G49" s="2575">
        <v>5.4770767859006142E-2</v>
      </c>
      <c r="H49" s="2578">
        <v>0</v>
      </c>
      <c r="I49" s="2580">
        <v>0.15585111214165415</v>
      </c>
      <c r="J49" s="2575">
        <v>6.0000000000000053E-2</v>
      </c>
      <c r="K49" s="2578">
        <v>5.9999999999999831E-2</v>
      </c>
      <c r="L49" s="338"/>
    </row>
    <row r="50" spans="1:12" ht="5.0999999999999996" customHeight="1" x14ac:dyDescent="0.25">
      <c r="A50" s="265"/>
      <c r="B50" s="181"/>
      <c r="C50" s="456"/>
      <c r="D50" s="2582"/>
      <c r="E50" s="2583"/>
      <c r="F50" s="2584"/>
      <c r="G50" s="2582"/>
      <c r="H50" s="2583"/>
      <c r="I50" s="2585"/>
      <c r="J50" s="2582"/>
      <c r="K50" s="2583"/>
      <c r="L50" s="338"/>
    </row>
    <row r="51" spans="1:12" ht="11.25" customHeight="1" x14ac:dyDescent="0.25">
      <c r="A51" s="244" t="s">
        <v>918</v>
      </c>
      <c r="B51" s="181"/>
      <c r="C51" s="205"/>
      <c r="D51" s="205"/>
      <c r="E51" s="256"/>
      <c r="F51" s="246"/>
      <c r="G51" s="205"/>
      <c r="H51" s="256"/>
      <c r="I51" s="208"/>
      <c r="J51" s="205"/>
      <c r="K51" s="256"/>
      <c r="L51" s="338"/>
    </row>
    <row r="52" spans="1:12" ht="11.25" customHeight="1" x14ac:dyDescent="0.25">
      <c r="A52" s="189" t="s">
        <v>1309</v>
      </c>
      <c r="B52" s="181"/>
      <c r="C52" s="1030">
        <v>0</v>
      </c>
      <c r="D52" s="1030">
        <v>0</v>
      </c>
      <c r="E52" s="1065">
        <v>0</v>
      </c>
      <c r="F52" s="1030">
        <v>0</v>
      </c>
      <c r="G52" s="1030">
        <v>0</v>
      </c>
      <c r="H52" s="1065">
        <v>0</v>
      </c>
      <c r="I52" s="1030">
        <v>0</v>
      </c>
      <c r="J52" s="1030">
        <v>0</v>
      </c>
      <c r="K52" s="1030">
        <v>0</v>
      </c>
      <c r="L52" s="338"/>
    </row>
    <row r="53" spans="1:12" ht="11.25" customHeight="1" x14ac:dyDescent="0.25">
      <c r="A53" s="189" t="s">
        <v>2060</v>
      </c>
      <c r="B53" s="181"/>
      <c r="C53" s="1030">
        <v>0</v>
      </c>
      <c r="D53" s="1030">
        <v>0</v>
      </c>
      <c r="E53" s="1065">
        <v>0</v>
      </c>
      <c r="F53" s="1066">
        <v>0</v>
      </c>
      <c r="G53" s="1030">
        <v>0</v>
      </c>
      <c r="H53" s="1065">
        <v>0</v>
      </c>
      <c r="I53" s="1067">
        <v>0</v>
      </c>
      <c r="J53" s="1030">
        <v>0</v>
      </c>
      <c r="K53" s="1065">
        <v>0</v>
      </c>
      <c r="L53" s="338"/>
    </row>
    <row r="54" spans="1:12" ht="11.25" customHeight="1" x14ac:dyDescent="0.25">
      <c r="A54" s="189" t="s">
        <v>765</v>
      </c>
      <c r="B54" s="181"/>
      <c r="C54" s="1030">
        <v>0</v>
      </c>
      <c r="D54" s="1030">
        <v>0</v>
      </c>
      <c r="E54" s="1065">
        <v>0</v>
      </c>
      <c r="F54" s="1066">
        <v>0</v>
      </c>
      <c r="G54" s="1030">
        <v>0</v>
      </c>
      <c r="H54" s="1065">
        <v>0</v>
      </c>
      <c r="I54" s="1067">
        <v>0</v>
      </c>
      <c r="J54" s="1030">
        <v>0</v>
      </c>
      <c r="K54" s="1065">
        <v>0</v>
      </c>
      <c r="L54" s="338"/>
    </row>
    <row r="55" spans="1:12" ht="11.25" customHeight="1" x14ac:dyDescent="0.25">
      <c r="A55" s="189" t="s">
        <v>1095</v>
      </c>
      <c r="B55" s="181"/>
      <c r="C55" s="1030">
        <v>0</v>
      </c>
      <c r="D55" s="1030">
        <v>0</v>
      </c>
      <c r="E55" s="1065">
        <v>0</v>
      </c>
      <c r="F55" s="1066">
        <v>0</v>
      </c>
      <c r="G55" s="1030">
        <v>0</v>
      </c>
      <c r="H55" s="1065">
        <v>0</v>
      </c>
      <c r="I55" s="1067">
        <v>0</v>
      </c>
      <c r="J55" s="1030">
        <v>0</v>
      </c>
      <c r="K55" s="1065">
        <v>0</v>
      </c>
      <c r="L55" s="338"/>
    </row>
    <row r="56" spans="1:12" ht="11.25" customHeight="1" x14ac:dyDescent="0.25">
      <c r="A56" s="189" t="s">
        <v>767</v>
      </c>
      <c r="B56" s="181"/>
      <c r="C56" s="1030">
        <v>0</v>
      </c>
      <c r="D56" s="1030">
        <v>0</v>
      </c>
      <c r="E56" s="1065">
        <v>0</v>
      </c>
      <c r="F56" s="1066">
        <v>0</v>
      </c>
      <c r="G56" s="1030">
        <v>0</v>
      </c>
      <c r="H56" s="1065">
        <v>0</v>
      </c>
      <c r="I56" s="1067">
        <v>0</v>
      </c>
      <c r="J56" s="1030">
        <v>0</v>
      </c>
      <c r="K56" s="1065">
        <v>0</v>
      </c>
      <c r="L56" s="338"/>
    </row>
    <row r="57" spans="1:12" ht="11.25" customHeight="1" x14ac:dyDescent="0.25">
      <c r="A57" s="189" t="s">
        <v>2218</v>
      </c>
      <c r="B57" s="181">
        <v>3</v>
      </c>
      <c r="C57" s="1030">
        <v>0</v>
      </c>
      <c r="D57" s="1030">
        <v>0</v>
      </c>
      <c r="E57" s="1065">
        <v>0</v>
      </c>
      <c r="F57" s="1066">
        <v>0</v>
      </c>
      <c r="G57" s="1030">
        <v>0</v>
      </c>
      <c r="H57" s="1065">
        <v>0</v>
      </c>
      <c r="I57" s="1067">
        <v>0</v>
      </c>
      <c r="J57" s="1030">
        <v>0</v>
      </c>
      <c r="K57" s="1065">
        <v>0</v>
      </c>
      <c r="L57" s="338"/>
    </row>
    <row r="58" spans="1:12" ht="11.25" customHeight="1" x14ac:dyDescent="0.25">
      <c r="A58" s="189" t="s">
        <v>2061</v>
      </c>
      <c r="B58" s="181">
        <v>3</v>
      </c>
      <c r="C58" s="1030">
        <v>0</v>
      </c>
      <c r="D58" s="1030">
        <v>0</v>
      </c>
      <c r="E58" s="1065">
        <v>0</v>
      </c>
      <c r="F58" s="1066">
        <v>0</v>
      </c>
      <c r="G58" s="1030">
        <v>0</v>
      </c>
      <c r="H58" s="1065">
        <v>0</v>
      </c>
      <c r="I58" s="1067">
        <v>0</v>
      </c>
      <c r="J58" s="1030">
        <v>0</v>
      </c>
      <c r="K58" s="1065">
        <v>0</v>
      </c>
      <c r="L58" s="338"/>
    </row>
    <row r="59" spans="1:12" ht="11.25" customHeight="1" x14ac:dyDescent="0.25">
      <c r="A59" s="189" t="s">
        <v>2219</v>
      </c>
      <c r="B59" s="181">
        <v>3</v>
      </c>
      <c r="C59" s="1030">
        <v>0</v>
      </c>
      <c r="D59" s="1030">
        <v>0</v>
      </c>
      <c r="E59" s="1065">
        <v>0</v>
      </c>
      <c r="F59" s="1066">
        <v>0</v>
      </c>
      <c r="G59" s="1030">
        <v>0</v>
      </c>
      <c r="H59" s="1065">
        <v>0</v>
      </c>
      <c r="I59" s="1067">
        <v>0</v>
      </c>
      <c r="J59" s="1030">
        <v>0</v>
      </c>
      <c r="K59" s="1065">
        <v>0</v>
      </c>
      <c r="L59" s="338"/>
    </row>
    <row r="60" spans="1:12" ht="11.25" customHeight="1" x14ac:dyDescent="0.25">
      <c r="A60" s="189" t="s">
        <v>1543</v>
      </c>
      <c r="B60" s="181">
        <v>3</v>
      </c>
      <c r="C60" s="1030">
        <v>0</v>
      </c>
      <c r="D60" s="1030">
        <v>0</v>
      </c>
      <c r="E60" s="1065">
        <v>0</v>
      </c>
      <c r="F60" s="1066">
        <v>0</v>
      </c>
      <c r="G60" s="1030">
        <v>0</v>
      </c>
      <c r="H60" s="1065">
        <v>0</v>
      </c>
      <c r="I60" s="1067">
        <v>0</v>
      </c>
      <c r="J60" s="1030">
        <v>0</v>
      </c>
      <c r="K60" s="1065">
        <v>0</v>
      </c>
      <c r="L60" s="338"/>
    </row>
    <row r="61" spans="1:12" ht="11.25" customHeight="1" x14ac:dyDescent="0.25">
      <c r="A61" s="189" t="s">
        <v>2223</v>
      </c>
      <c r="B61" s="181"/>
      <c r="C61" s="1030">
        <v>0</v>
      </c>
      <c r="D61" s="1030">
        <v>0</v>
      </c>
      <c r="E61" s="1065">
        <v>0</v>
      </c>
      <c r="F61" s="1066">
        <v>0</v>
      </c>
      <c r="G61" s="1030">
        <v>0</v>
      </c>
      <c r="H61" s="1065">
        <v>0</v>
      </c>
      <c r="I61" s="1067">
        <v>0</v>
      </c>
      <c r="J61" s="1030">
        <v>0</v>
      </c>
      <c r="K61" s="1065">
        <v>0</v>
      </c>
      <c r="L61" s="338"/>
    </row>
    <row r="62" spans="1:12" ht="11.25" customHeight="1" x14ac:dyDescent="0.25">
      <c r="A62" s="189" t="s">
        <v>1672</v>
      </c>
      <c r="B62" s="181"/>
      <c r="C62" s="1030">
        <v>0</v>
      </c>
      <c r="D62" s="1030">
        <v>0</v>
      </c>
      <c r="E62" s="1065">
        <v>0</v>
      </c>
      <c r="F62" s="1066">
        <v>0</v>
      </c>
      <c r="G62" s="1030">
        <v>0</v>
      </c>
      <c r="H62" s="1065">
        <v>0</v>
      </c>
      <c r="I62" s="1067">
        <v>0</v>
      </c>
      <c r="J62" s="1030">
        <v>0</v>
      </c>
      <c r="K62" s="1065">
        <v>0</v>
      </c>
      <c r="L62" s="338"/>
    </row>
    <row r="63" spans="1:12" ht="11.25" customHeight="1" x14ac:dyDescent="0.25">
      <c r="A63" s="189" t="s">
        <v>1096</v>
      </c>
      <c r="B63" s="181"/>
      <c r="C63" s="1030">
        <v>0</v>
      </c>
      <c r="D63" s="1030">
        <v>0</v>
      </c>
      <c r="E63" s="1065">
        <v>0</v>
      </c>
      <c r="F63" s="1066">
        <v>0</v>
      </c>
      <c r="G63" s="1030">
        <v>0</v>
      </c>
      <c r="H63" s="1065">
        <v>0</v>
      </c>
      <c r="I63" s="1067">
        <v>0</v>
      </c>
      <c r="J63" s="1030">
        <v>0</v>
      </c>
      <c r="K63" s="1065">
        <v>0</v>
      </c>
      <c r="L63" s="338"/>
    </row>
    <row r="64" spans="1:12" ht="11.25" customHeight="1" x14ac:dyDescent="0.25">
      <c r="A64" s="189" t="s">
        <v>1673</v>
      </c>
      <c r="B64" s="181">
        <v>6</v>
      </c>
      <c r="C64" s="1030">
        <v>0</v>
      </c>
      <c r="D64" s="1030">
        <v>0</v>
      </c>
      <c r="E64" s="1065">
        <v>0</v>
      </c>
      <c r="F64" s="1066">
        <v>0</v>
      </c>
      <c r="G64" s="1030">
        <v>0</v>
      </c>
      <c r="H64" s="1065">
        <v>0</v>
      </c>
      <c r="I64" s="1067">
        <v>0</v>
      </c>
      <c r="J64" s="1030">
        <v>0</v>
      </c>
      <c r="K64" s="1065">
        <v>0</v>
      </c>
      <c r="L64" s="338"/>
    </row>
    <row r="65" spans="1:12" ht="11.25" customHeight="1" x14ac:dyDescent="0.25">
      <c r="A65" s="257" t="s">
        <v>1335</v>
      </c>
      <c r="B65" s="181"/>
      <c r="C65" s="259">
        <v>0</v>
      </c>
      <c r="D65" s="259">
        <v>0</v>
      </c>
      <c r="E65" s="260">
        <v>0</v>
      </c>
      <c r="F65" s="261">
        <v>0</v>
      </c>
      <c r="G65" s="259">
        <v>0</v>
      </c>
      <c r="H65" s="260">
        <v>0</v>
      </c>
      <c r="I65" s="258">
        <v>0</v>
      </c>
      <c r="J65" s="259">
        <v>0</v>
      </c>
      <c r="K65" s="260">
        <v>0</v>
      </c>
      <c r="L65" s="338"/>
    </row>
    <row r="66" spans="1:12" ht="11.25" customHeight="1" x14ac:dyDescent="0.25">
      <c r="A66" s="341" t="s">
        <v>930</v>
      </c>
      <c r="B66" s="181">
        <v>4</v>
      </c>
      <c r="C66" s="661"/>
      <c r="D66" s="2575">
        <v>0</v>
      </c>
      <c r="E66" s="2578">
        <v>0</v>
      </c>
      <c r="F66" s="2579">
        <v>0</v>
      </c>
      <c r="G66" s="2575">
        <v>0</v>
      </c>
      <c r="H66" s="2578">
        <v>0</v>
      </c>
      <c r="I66" s="2580">
        <v>0</v>
      </c>
      <c r="J66" s="2575">
        <v>0</v>
      </c>
      <c r="K66" s="2578">
        <v>0</v>
      </c>
      <c r="L66" s="338"/>
    </row>
    <row r="67" spans="1:12" ht="5.0999999999999996" customHeight="1" x14ac:dyDescent="0.25">
      <c r="A67" s="265"/>
      <c r="B67" s="181"/>
      <c r="C67" s="456"/>
      <c r="D67" s="456"/>
      <c r="E67" s="206"/>
      <c r="F67" s="455"/>
      <c r="G67" s="456"/>
      <c r="H67" s="206"/>
      <c r="I67" s="331"/>
      <c r="J67" s="456"/>
      <c r="K67" s="206"/>
      <c r="L67" s="338"/>
    </row>
    <row r="68" spans="1:12" ht="11.25" customHeight="1" x14ac:dyDescent="0.25">
      <c r="A68" s="244" t="s">
        <v>286</v>
      </c>
      <c r="B68" s="181"/>
      <c r="C68" s="205"/>
      <c r="D68" s="205"/>
      <c r="E68" s="256"/>
      <c r="F68" s="246"/>
      <c r="G68" s="205"/>
      <c r="H68" s="256"/>
      <c r="I68" s="208"/>
      <c r="J68" s="205"/>
      <c r="K68" s="256"/>
      <c r="L68" s="338"/>
    </row>
    <row r="69" spans="1:12" ht="11.25" customHeight="1" x14ac:dyDescent="0.25">
      <c r="A69" s="245" t="s">
        <v>1309</v>
      </c>
      <c r="B69" s="181"/>
      <c r="C69" s="1030">
        <v>0</v>
      </c>
      <c r="D69" s="1030">
        <v>0</v>
      </c>
      <c r="E69" s="1065">
        <v>0</v>
      </c>
      <c r="F69" s="1066">
        <v>0</v>
      </c>
      <c r="G69" s="1030">
        <v>0</v>
      </c>
      <c r="H69" s="1065">
        <v>0</v>
      </c>
      <c r="I69" s="1067">
        <v>0</v>
      </c>
      <c r="J69" s="1030">
        <v>0</v>
      </c>
      <c r="K69" s="1065">
        <v>0</v>
      </c>
      <c r="L69" s="338"/>
    </row>
    <row r="70" spans="1:12" ht="11.25" customHeight="1" x14ac:dyDescent="0.25">
      <c r="A70" s="245" t="s">
        <v>2060</v>
      </c>
      <c r="B70" s="181"/>
      <c r="C70" s="1030">
        <v>0</v>
      </c>
      <c r="D70" s="1030">
        <v>0</v>
      </c>
      <c r="E70" s="1065">
        <v>0</v>
      </c>
      <c r="F70" s="1066">
        <v>0</v>
      </c>
      <c r="G70" s="1030">
        <v>0</v>
      </c>
      <c r="H70" s="1065">
        <v>0</v>
      </c>
      <c r="I70" s="1067">
        <v>0</v>
      </c>
      <c r="J70" s="1030">
        <v>0</v>
      </c>
      <c r="K70" s="1065">
        <v>0</v>
      </c>
      <c r="L70" s="338"/>
    </row>
    <row r="71" spans="1:12" ht="11.25" customHeight="1" x14ac:dyDescent="0.25">
      <c r="A71" s="245" t="s">
        <v>765</v>
      </c>
      <c r="B71" s="181"/>
      <c r="C71" s="1030">
        <v>0</v>
      </c>
      <c r="D71" s="1030">
        <v>0</v>
      </c>
      <c r="E71" s="1065">
        <v>0</v>
      </c>
      <c r="F71" s="1066">
        <v>0</v>
      </c>
      <c r="G71" s="1030">
        <v>0</v>
      </c>
      <c r="H71" s="1065">
        <v>0</v>
      </c>
      <c r="I71" s="1067">
        <v>0</v>
      </c>
      <c r="J71" s="1030">
        <v>0</v>
      </c>
      <c r="K71" s="1065">
        <v>0</v>
      </c>
      <c r="L71" s="338"/>
    </row>
    <row r="72" spans="1:12" ht="11.25" customHeight="1" x14ac:dyDescent="0.25">
      <c r="A72" s="245" t="s">
        <v>1095</v>
      </c>
      <c r="B72" s="181"/>
      <c r="C72" s="1030">
        <v>0</v>
      </c>
      <c r="D72" s="1030">
        <v>0</v>
      </c>
      <c r="E72" s="1065">
        <v>0</v>
      </c>
      <c r="F72" s="1066">
        <v>0</v>
      </c>
      <c r="G72" s="1030">
        <v>0</v>
      </c>
      <c r="H72" s="1065">
        <v>0</v>
      </c>
      <c r="I72" s="1067">
        <v>0</v>
      </c>
      <c r="J72" s="1030">
        <v>0</v>
      </c>
      <c r="K72" s="1065">
        <v>0</v>
      </c>
      <c r="L72" s="338"/>
    </row>
    <row r="73" spans="1:12" ht="11.25" customHeight="1" x14ac:dyDescent="0.25">
      <c r="A73" s="245" t="s">
        <v>767</v>
      </c>
      <c r="B73" s="181"/>
      <c r="C73" s="1030">
        <v>0</v>
      </c>
      <c r="D73" s="1030">
        <v>0</v>
      </c>
      <c r="E73" s="1065">
        <v>0</v>
      </c>
      <c r="F73" s="1066">
        <v>0</v>
      </c>
      <c r="G73" s="1030">
        <v>0</v>
      </c>
      <c r="H73" s="1065">
        <v>0</v>
      </c>
      <c r="I73" s="1067">
        <v>0</v>
      </c>
      <c r="J73" s="1030">
        <v>0</v>
      </c>
      <c r="K73" s="1065">
        <v>0</v>
      </c>
      <c r="L73" s="338"/>
    </row>
    <row r="74" spans="1:12" ht="11.25" customHeight="1" x14ac:dyDescent="0.25">
      <c r="A74" s="245" t="s">
        <v>2218</v>
      </c>
      <c r="B74" s="181">
        <v>3</v>
      </c>
      <c r="C74" s="1030">
        <v>0</v>
      </c>
      <c r="D74" s="1030">
        <v>0</v>
      </c>
      <c r="E74" s="1065">
        <v>0</v>
      </c>
      <c r="F74" s="1066">
        <v>0</v>
      </c>
      <c r="G74" s="1030">
        <v>0</v>
      </c>
      <c r="H74" s="1065">
        <v>0</v>
      </c>
      <c r="I74" s="1067">
        <v>0</v>
      </c>
      <c r="J74" s="1030">
        <v>0</v>
      </c>
      <c r="K74" s="1065">
        <v>0</v>
      </c>
      <c r="L74" s="338"/>
    </row>
    <row r="75" spans="1:12" ht="11.25" customHeight="1" x14ac:dyDescent="0.25">
      <c r="A75" s="245" t="s">
        <v>2061</v>
      </c>
      <c r="B75" s="181">
        <v>3</v>
      </c>
      <c r="C75" s="1030">
        <v>0</v>
      </c>
      <c r="D75" s="1030">
        <v>0</v>
      </c>
      <c r="E75" s="1065">
        <v>0</v>
      </c>
      <c r="F75" s="1066">
        <v>0</v>
      </c>
      <c r="G75" s="1030">
        <v>0</v>
      </c>
      <c r="H75" s="1065">
        <v>0</v>
      </c>
      <c r="I75" s="1067">
        <v>0</v>
      </c>
      <c r="J75" s="1030">
        <v>0</v>
      </c>
      <c r="K75" s="1065">
        <v>0</v>
      </c>
      <c r="L75" s="338"/>
    </row>
    <row r="76" spans="1:12" ht="11.25" customHeight="1" x14ac:dyDescent="0.25">
      <c r="A76" s="245" t="s">
        <v>2219</v>
      </c>
      <c r="B76" s="181">
        <v>3</v>
      </c>
      <c r="C76" s="1030">
        <v>0</v>
      </c>
      <c r="D76" s="1030">
        <v>0</v>
      </c>
      <c r="E76" s="1065">
        <v>0</v>
      </c>
      <c r="F76" s="1066">
        <v>0</v>
      </c>
      <c r="G76" s="1030">
        <v>0</v>
      </c>
      <c r="H76" s="1065">
        <v>0</v>
      </c>
      <c r="I76" s="1067">
        <v>0</v>
      </c>
      <c r="J76" s="1030">
        <v>0</v>
      </c>
      <c r="K76" s="1065">
        <v>0</v>
      </c>
      <c r="L76" s="338"/>
    </row>
    <row r="77" spans="1:12" ht="11.25" customHeight="1" x14ac:dyDescent="0.25">
      <c r="A77" s="245" t="s">
        <v>1543</v>
      </c>
      <c r="B77" s="181">
        <v>3</v>
      </c>
      <c r="C77" s="1030">
        <v>0</v>
      </c>
      <c r="D77" s="1030">
        <v>0</v>
      </c>
      <c r="E77" s="1065">
        <v>0</v>
      </c>
      <c r="F77" s="1066">
        <v>0</v>
      </c>
      <c r="G77" s="1030">
        <v>0</v>
      </c>
      <c r="H77" s="1065">
        <v>0</v>
      </c>
      <c r="I77" s="1067">
        <v>0</v>
      </c>
      <c r="J77" s="1030">
        <v>0</v>
      </c>
      <c r="K77" s="1065">
        <v>0</v>
      </c>
      <c r="L77" s="338"/>
    </row>
    <row r="78" spans="1:12" ht="11.25" customHeight="1" x14ac:dyDescent="0.25">
      <c r="A78" s="245" t="s">
        <v>1672</v>
      </c>
      <c r="B78" s="181"/>
      <c r="C78" s="1030">
        <v>0</v>
      </c>
      <c r="D78" s="1030">
        <v>0</v>
      </c>
      <c r="E78" s="1065">
        <v>0</v>
      </c>
      <c r="F78" s="1066">
        <v>0</v>
      </c>
      <c r="G78" s="1030">
        <v>0</v>
      </c>
      <c r="H78" s="1065">
        <v>0</v>
      </c>
      <c r="I78" s="1067">
        <v>0</v>
      </c>
      <c r="J78" s="1030">
        <v>0</v>
      </c>
      <c r="K78" s="1065">
        <v>0</v>
      </c>
      <c r="L78" s="338"/>
    </row>
    <row r="79" spans="1:12" ht="11.25" customHeight="1" x14ac:dyDescent="0.25">
      <c r="A79" s="245" t="s">
        <v>1096</v>
      </c>
      <c r="B79" s="181"/>
      <c r="C79" s="1030">
        <v>0</v>
      </c>
      <c r="D79" s="1030">
        <v>0</v>
      </c>
      <c r="E79" s="1065">
        <v>0</v>
      </c>
      <c r="F79" s="1066">
        <v>0</v>
      </c>
      <c r="G79" s="1030">
        <v>0</v>
      </c>
      <c r="H79" s="1065">
        <v>0</v>
      </c>
      <c r="I79" s="1067">
        <v>0</v>
      </c>
      <c r="J79" s="1030">
        <v>0</v>
      </c>
      <c r="K79" s="1065">
        <v>0</v>
      </c>
      <c r="L79" s="338"/>
    </row>
    <row r="80" spans="1:12" ht="11.25" customHeight="1" x14ac:dyDescent="0.25">
      <c r="A80" s="245" t="s">
        <v>1673</v>
      </c>
      <c r="B80" s="181">
        <v>6</v>
      </c>
      <c r="C80" s="1030">
        <v>0</v>
      </c>
      <c r="D80" s="1030">
        <v>0</v>
      </c>
      <c r="E80" s="1065">
        <v>0</v>
      </c>
      <c r="F80" s="1066">
        <v>0</v>
      </c>
      <c r="G80" s="1030">
        <v>0</v>
      </c>
      <c r="H80" s="1065">
        <v>0</v>
      </c>
      <c r="I80" s="1067">
        <v>0</v>
      </c>
      <c r="J80" s="1030">
        <v>0</v>
      </c>
      <c r="K80" s="1065">
        <v>0</v>
      </c>
      <c r="L80" s="338"/>
    </row>
    <row r="81" spans="1:12" ht="11.25" customHeight="1" x14ac:dyDescent="0.25">
      <c r="A81" s="257" t="s">
        <v>287</v>
      </c>
      <c r="B81" s="181"/>
      <c r="C81" s="259">
        <v>0</v>
      </c>
      <c r="D81" s="259">
        <v>0</v>
      </c>
      <c r="E81" s="260">
        <v>0</v>
      </c>
      <c r="F81" s="261">
        <v>0</v>
      </c>
      <c r="G81" s="259">
        <v>0</v>
      </c>
      <c r="H81" s="260">
        <v>0</v>
      </c>
      <c r="I81" s="258">
        <v>0</v>
      </c>
      <c r="J81" s="259">
        <v>0</v>
      </c>
      <c r="K81" s="260">
        <v>0</v>
      </c>
      <c r="L81" s="338"/>
    </row>
    <row r="82" spans="1:12" ht="11.25" customHeight="1" x14ac:dyDescent="0.25">
      <c r="A82" s="341" t="s">
        <v>930</v>
      </c>
      <c r="B82" s="181">
        <v>4</v>
      </c>
      <c r="C82" s="661"/>
      <c r="D82" s="2575">
        <v>0</v>
      </c>
      <c r="E82" s="2578">
        <v>0</v>
      </c>
      <c r="F82" s="2579">
        <v>0</v>
      </c>
      <c r="G82" s="2575">
        <v>0</v>
      </c>
      <c r="H82" s="2578">
        <v>0</v>
      </c>
      <c r="I82" s="2580">
        <v>0</v>
      </c>
      <c r="J82" s="2575">
        <v>0</v>
      </c>
      <c r="K82" s="2578">
        <v>0</v>
      </c>
      <c r="L82" s="338"/>
    </row>
    <row r="83" spans="1:12" ht="5.0999999999999996" customHeight="1" x14ac:dyDescent="0.25">
      <c r="A83" s="265"/>
      <c r="B83" s="181"/>
      <c r="C83" s="456"/>
      <c r="D83" s="456"/>
      <c r="E83" s="206"/>
      <c r="F83" s="455"/>
      <c r="G83" s="456"/>
      <c r="H83" s="206"/>
      <c r="I83" s="331"/>
      <c r="J83" s="456"/>
      <c r="K83" s="206"/>
      <c r="L83" s="338"/>
    </row>
    <row r="84" spans="1:12" ht="11.25" customHeight="1" x14ac:dyDescent="0.25">
      <c r="A84" s="244" t="s">
        <v>288</v>
      </c>
      <c r="B84" s="181"/>
      <c r="C84" s="205"/>
      <c r="D84" s="205"/>
      <c r="E84" s="256"/>
      <c r="F84" s="246"/>
      <c r="G84" s="205"/>
      <c r="H84" s="256"/>
      <c r="I84" s="208"/>
      <c r="J84" s="205"/>
      <c r="K84" s="256"/>
      <c r="L84" s="338"/>
    </row>
    <row r="85" spans="1:12" ht="11.25" customHeight="1" x14ac:dyDescent="0.25">
      <c r="A85" s="245" t="s">
        <v>1309</v>
      </c>
      <c r="B85" s="181"/>
      <c r="C85" s="1030">
        <v>0</v>
      </c>
      <c r="D85" s="1030">
        <v>0</v>
      </c>
      <c r="E85" s="1065">
        <v>0</v>
      </c>
      <c r="F85" s="1066">
        <v>0</v>
      </c>
      <c r="G85" s="1030">
        <v>0</v>
      </c>
      <c r="H85" s="1065">
        <v>0</v>
      </c>
      <c r="I85" s="1067">
        <v>0</v>
      </c>
      <c r="J85" s="1030">
        <v>0</v>
      </c>
      <c r="K85" s="1065">
        <v>0</v>
      </c>
      <c r="L85" s="338"/>
    </row>
    <row r="86" spans="1:12" ht="11.25" customHeight="1" x14ac:dyDescent="0.25">
      <c r="A86" s="245" t="s">
        <v>2060</v>
      </c>
      <c r="B86" s="181"/>
      <c r="C86" s="1030">
        <v>0</v>
      </c>
      <c r="D86" s="1030">
        <v>0</v>
      </c>
      <c r="E86" s="1065">
        <v>0</v>
      </c>
      <c r="F86" s="1066">
        <v>0</v>
      </c>
      <c r="G86" s="1030">
        <v>0</v>
      </c>
      <c r="H86" s="1065">
        <v>0</v>
      </c>
      <c r="I86" s="1067">
        <v>0</v>
      </c>
      <c r="J86" s="1030">
        <v>0</v>
      </c>
      <c r="K86" s="1065">
        <v>0</v>
      </c>
      <c r="L86" s="338"/>
    </row>
    <row r="87" spans="1:12" ht="11.25" customHeight="1" x14ac:dyDescent="0.25">
      <c r="A87" s="245" t="s">
        <v>765</v>
      </c>
      <c r="B87" s="181"/>
      <c r="C87" s="1030">
        <v>0</v>
      </c>
      <c r="D87" s="1030">
        <v>0</v>
      </c>
      <c r="E87" s="1065">
        <v>0</v>
      </c>
      <c r="F87" s="1066">
        <v>0</v>
      </c>
      <c r="G87" s="1030">
        <v>0</v>
      </c>
      <c r="H87" s="1065">
        <v>0</v>
      </c>
      <c r="I87" s="1067">
        <v>0</v>
      </c>
      <c r="J87" s="1030">
        <v>0</v>
      </c>
      <c r="K87" s="1065">
        <v>0</v>
      </c>
      <c r="L87" s="338"/>
    </row>
    <row r="88" spans="1:12" ht="11.25" customHeight="1" x14ac:dyDescent="0.25">
      <c r="A88" s="245" t="s">
        <v>1095</v>
      </c>
      <c r="B88" s="181"/>
      <c r="C88" s="1030">
        <v>0</v>
      </c>
      <c r="D88" s="1030">
        <v>0</v>
      </c>
      <c r="E88" s="1065">
        <v>0</v>
      </c>
      <c r="F88" s="1066">
        <v>0</v>
      </c>
      <c r="G88" s="1030">
        <v>0</v>
      </c>
      <c r="H88" s="1065">
        <v>0</v>
      </c>
      <c r="I88" s="1067">
        <v>0</v>
      </c>
      <c r="J88" s="1030">
        <v>0</v>
      </c>
      <c r="K88" s="1065">
        <v>0</v>
      </c>
      <c r="L88" s="338"/>
    </row>
    <row r="89" spans="1:12" ht="11.25" customHeight="1" x14ac:dyDescent="0.25">
      <c r="A89" s="245" t="s">
        <v>767</v>
      </c>
      <c r="B89" s="181"/>
      <c r="C89" s="1030">
        <v>0</v>
      </c>
      <c r="D89" s="1030">
        <v>0</v>
      </c>
      <c r="E89" s="1065">
        <v>0</v>
      </c>
      <c r="F89" s="1066">
        <v>0</v>
      </c>
      <c r="G89" s="1030">
        <v>0</v>
      </c>
      <c r="H89" s="1065">
        <v>0</v>
      </c>
      <c r="I89" s="1067">
        <v>0</v>
      </c>
      <c r="J89" s="1030">
        <v>0</v>
      </c>
      <c r="K89" s="1065">
        <v>0</v>
      </c>
      <c r="L89" s="338"/>
    </row>
    <row r="90" spans="1:12" ht="11.25" customHeight="1" x14ac:dyDescent="0.25">
      <c r="A90" s="245" t="s">
        <v>2218</v>
      </c>
      <c r="B90" s="181">
        <v>3</v>
      </c>
      <c r="C90" s="1030">
        <v>0</v>
      </c>
      <c r="D90" s="1030">
        <v>0</v>
      </c>
      <c r="E90" s="1065">
        <v>0</v>
      </c>
      <c r="F90" s="1066">
        <v>0</v>
      </c>
      <c r="G90" s="1030">
        <v>0</v>
      </c>
      <c r="H90" s="1065">
        <v>0</v>
      </c>
      <c r="I90" s="1067">
        <v>0</v>
      </c>
      <c r="J90" s="1030">
        <v>0</v>
      </c>
      <c r="K90" s="1065">
        <v>0</v>
      </c>
      <c r="L90" s="338"/>
    </row>
    <row r="91" spans="1:12" ht="11.25" customHeight="1" x14ac:dyDescent="0.25">
      <c r="A91" s="245" t="s">
        <v>2061</v>
      </c>
      <c r="B91" s="181">
        <v>3</v>
      </c>
      <c r="C91" s="1030">
        <v>0</v>
      </c>
      <c r="D91" s="1030">
        <v>0</v>
      </c>
      <c r="E91" s="1065">
        <v>0</v>
      </c>
      <c r="F91" s="1066">
        <v>0</v>
      </c>
      <c r="G91" s="1030">
        <v>0</v>
      </c>
      <c r="H91" s="1065">
        <v>0</v>
      </c>
      <c r="I91" s="1067">
        <v>0</v>
      </c>
      <c r="J91" s="1030">
        <v>0</v>
      </c>
      <c r="K91" s="1065">
        <v>0</v>
      </c>
      <c r="L91" s="338"/>
    </row>
    <row r="92" spans="1:12" ht="11.25" customHeight="1" x14ac:dyDescent="0.25">
      <c r="A92" s="245" t="s">
        <v>2219</v>
      </c>
      <c r="B92" s="181">
        <v>3</v>
      </c>
      <c r="C92" s="1030">
        <v>0</v>
      </c>
      <c r="D92" s="1030">
        <v>0</v>
      </c>
      <c r="E92" s="1065">
        <v>0</v>
      </c>
      <c r="F92" s="1066">
        <v>0</v>
      </c>
      <c r="G92" s="1030">
        <v>0</v>
      </c>
      <c r="H92" s="1065">
        <v>0</v>
      </c>
      <c r="I92" s="1067">
        <v>0</v>
      </c>
      <c r="J92" s="1030">
        <v>0</v>
      </c>
      <c r="K92" s="1065">
        <v>0</v>
      </c>
      <c r="L92" s="338"/>
    </row>
    <row r="93" spans="1:12" ht="11.25" customHeight="1" x14ac:dyDescent="0.25">
      <c r="A93" s="245" t="s">
        <v>1543</v>
      </c>
      <c r="B93" s="181">
        <v>3</v>
      </c>
      <c r="C93" s="1030">
        <v>0</v>
      </c>
      <c r="D93" s="1030">
        <v>0</v>
      </c>
      <c r="E93" s="1065">
        <v>0</v>
      </c>
      <c r="F93" s="1066">
        <v>0</v>
      </c>
      <c r="G93" s="1030">
        <v>0</v>
      </c>
      <c r="H93" s="1065">
        <v>0</v>
      </c>
      <c r="I93" s="1067">
        <v>0</v>
      </c>
      <c r="J93" s="1030">
        <v>0</v>
      </c>
      <c r="K93" s="1065">
        <v>0</v>
      </c>
      <c r="L93" s="338"/>
    </row>
    <row r="94" spans="1:12" ht="11.25" customHeight="1" x14ac:dyDescent="0.25">
      <c r="A94" s="245" t="s">
        <v>1672</v>
      </c>
      <c r="B94" s="181"/>
      <c r="C94" s="1030">
        <v>0</v>
      </c>
      <c r="D94" s="1030">
        <v>0</v>
      </c>
      <c r="E94" s="1065">
        <v>0</v>
      </c>
      <c r="F94" s="1066">
        <v>0</v>
      </c>
      <c r="G94" s="1030">
        <v>0</v>
      </c>
      <c r="H94" s="1065">
        <v>0</v>
      </c>
      <c r="I94" s="1067">
        <v>0</v>
      </c>
      <c r="J94" s="1030">
        <v>0</v>
      </c>
      <c r="K94" s="1065">
        <v>0</v>
      </c>
      <c r="L94" s="338"/>
    </row>
    <row r="95" spans="1:12" ht="11.25" customHeight="1" x14ac:dyDescent="0.25">
      <c r="A95" s="245" t="s">
        <v>1096</v>
      </c>
      <c r="B95" s="181"/>
      <c r="C95" s="1030">
        <v>0</v>
      </c>
      <c r="D95" s="1030">
        <v>0</v>
      </c>
      <c r="E95" s="1065">
        <v>0</v>
      </c>
      <c r="F95" s="1066">
        <v>0</v>
      </c>
      <c r="G95" s="1030">
        <v>0</v>
      </c>
      <c r="H95" s="1065">
        <v>0</v>
      </c>
      <c r="I95" s="1067">
        <v>0</v>
      </c>
      <c r="J95" s="1030">
        <v>0</v>
      </c>
      <c r="K95" s="1065">
        <v>0</v>
      </c>
      <c r="L95" s="338"/>
    </row>
    <row r="96" spans="1:12" ht="11.25" customHeight="1" x14ac:dyDescent="0.25">
      <c r="A96" s="245" t="s">
        <v>1673</v>
      </c>
      <c r="B96" s="181">
        <v>6</v>
      </c>
      <c r="C96" s="1030">
        <v>0</v>
      </c>
      <c r="D96" s="1030">
        <v>0</v>
      </c>
      <c r="E96" s="1065">
        <v>0</v>
      </c>
      <c r="F96" s="1066">
        <v>0</v>
      </c>
      <c r="G96" s="1030">
        <v>0</v>
      </c>
      <c r="H96" s="1065">
        <v>0</v>
      </c>
      <c r="I96" s="1067">
        <v>0</v>
      </c>
      <c r="J96" s="1030">
        <v>0</v>
      </c>
      <c r="K96" s="1065">
        <v>0</v>
      </c>
      <c r="L96" s="338"/>
    </row>
    <row r="97" spans="1:14" ht="11.25" customHeight="1" x14ac:dyDescent="0.25">
      <c r="A97" s="257" t="s">
        <v>1307</v>
      </c>
      <c r="B97" s="181"/>
      <c r="C97" s="259">
        <v>0</v>
      </c>
      <c r="D97" s="259">
        <v>0</v>
      </c>
      <c r="E97" s="260">
        <v>0</v>
      </c>
      <c r="F97" s="261">
        <v>0</v>
      </c>
      <c r="G97" s="259">
        <v>0</v>
      </c>
      <c r="H97" s="260">
        <v>0</v>
      </c>
      <c r="I97" s="258">
        <v>0</v>
      </c>
      <c r="J97" s="259">
        <v>0</v>
      </c>
      <c r="K97" s="260">
        <v>0</v>
      </c>
      <c r="L97" s="338"/>
    </row>
    <row r="98" spans="1:14" ht="11.25" customHeight="1" x14ac:dyDescent="0.25">
      <c r="A98" s="341" t="s">
        <v>930</v>
      </c>
      <c r="B98" s="181">
        <v>4</v>
      </c>
      <c r="C98" s="661"/>
      <c r="D98" s="2575">
        <v>0</v>
      </c>
      <c r="E98" s="2578">
        <v>0</v>
      </c>
      <c r="F98" s="2579">
        <v>0</v>
      </c>
      <c r="G98" s="2575">
        <v>0</v>
      </c>
      <c r="H98" s="2578">
        <v>0</v>
      </c>
      <c r="I98" s="2580">
        <v>0</v>
      </c>
      <c r="J98" s="2575">
        <v>0</v>
      </c>
      <c r="K98" s="2578">
        <v>0</v>
      </c>
      <c r="L98" s="338"/>
    </row>
    <row r="99" spans="1:14" ht="5.0999999999999996" customHeight="1" x14ac:dyDescent="0.25">
      <c r="A99" s="265"/>
      <c r="B99" s="181"/>
      <c r="C99" s="456"/>
      <c r="D99" s="456"/>
      <c r="E99" s="206"/>
      <c r="F99" s="455"/>
      <c r="G99" s="456"/>
      <c r="H99" s="206"/>
      <c r="I99" s="331"/>
      <c r="J99" s="456"/>
      <c r="K99" s="206"/>
      <c r="L99" s="338"/>
    </row>
    <row r="100" spans="1:14" ht="11.25" customHeight="1" x14ac:dyDescent="0.25">
      <c r="A100" s="644" t="s">
        <v>1564</v>
      </c>
      <c r="B100" s="645"/>
      <c r="C100" s="654">
        <v>0</v>
      </c>
      <c r="D100" s="654">
        <v>0</v>
      </c>
      <c r="E100" s="655">
        <v>0</v>
      </c>
      <c r="F100" s="656">
        <v>0</v>
      </c>
      <c r="G100" s="654">
        <v>0</v>
      </c>
      <c r="H100" s="655">
        <v>0</v>
      </c>
      <c r="I100" s="657">
        <v>0</v>
      </c>
      <c r="J100" s="654">
        <v>0</v>
      </c>
      <c r="K100" s="655">
        <v>0</v>
      </c>
      <c r="L100" s="338"/>
    </row>
    <row r="101" spans="1:14" ht="6" customHeight="1" x14ac:dyDescent="0.25">
      <c r="A101" s="265"/>
      <c r="B101" s="181"/>
      <c r="C101" s="456"/>
      <c r="D101" s="456"/>
      <c r="E101" s="206"/>
      <c r="F101" s="455"/>
      <c r="G101" s="456"/>
      <c r="H101" s="206"/>
      <c r="I101" s="331"/>
      <c r="J101" s="456"/>
      <c r="K101" s="206"/>
      <c r="L101" s="338"/>
    </row>
    <row r="102" spans="1:14" ht="25.5" x14ac:dyDescent="0.25">
      <c r="A102" s="1088" t="s">
        <v>568</v>
      </c>
      <c r="B102" s="350"/>
      <c r="C102" s="316">
        <v>13407411.68</v>
      </c>
      <c r="D102" s="316">
        <v>14904425.629999999</v>
      </c>
      <c r="E102" s="882">
        <v>18982536.399999999</v>
      </c>
      <c r="F102" s="883">
        <v>25128806</v>
      </c>
      <c r="G102" s="316">
        <v>26505130</v>
      </c>
      <c r="H102" s="882">
        <v>26505130</v>
      </c>
      <c r="I102" s="823">
        <v>30635983.987959124</v>
      </c>
      <c r="J102" s="316">
        <v>32474143.027236674</v>
      </c>
      <c r="K102" s="882">
        <v>34422591.608870871</v>
      </c>
      <c r="L102" s="338"/>
    </row>
    <row r="103" spans="1:14" ht="12.75" customHeight="1" x14ac:dyDescent="0.25">
      <c r="A103" s="341" t="s">
        <v>930</v>
      </c>
      <c r="B103" s="181">
        <v>4</v>
      </c>
      <c r="C103" s="2581"/>
      <c r="D103" s="2575">
        <v>0.11165570102043731</v>
      </c>
      <c r="E103" s="2580">
        <v>0.2736174389566195</v>
      </c>
      <c r="F103" s="2579">
        <v>0.32378547684491732</v>
      </c>
      <c r="G103" s="2575">
        <v>5.4770767859006142E-2</v>
      </c>
      <c r="H103" s="2578">
        <v>0</v>
      </c>
      <c r="I103" s="2580">
        <v>0.15585111214165415</v>
      </c>
      <c r="J103" s="2575">
        <v>6.0000000000000053E-2</v>
      </c>
      <c r="K103" s="2578">
        <v>5.9999999999999831E-2</v>
      </c>
      <c r="L103" s="328"/>
      <c r="M103" s="241"/>
      <c r="N103" s="241"/>
    </row>
    <row r="104" spans="1:14" ht="12.75" customHeight="1" x14ac:dyDescent="0.25">
      <c r="A104" s="268" t="s">
        <v>1442</v>
      </c>
      <c r="B104" s="222">
        <v>5</v>
      </c>
      <c r="C104" s="224">
        <v>11816013.709999999</v>
      </c>
      <c r="D104" s="224">
        <v>13211037.77</v>
      </c>
      <c r="E104" s="223">
        <v>17230064.529999997</v>
      </c>
      <c r="F104" s="321">
        <v>23278805.999999996</v>
      </c>
      <c r="G104" s="224">
        <v>24455581.999999996</v>
      </c>
      <c r="H104" s="320">
        <v>24455581.999999996</v>
      </c>
      <c r="I104" s="223">
        <v>28605520.959159125</v>
      </c>
      <c r="J104" s="224">
        <v>30321852.216708675</v>
      </c>
      <c r="K104" s="320">
        <v>32141163.349711191</v>
      </c>
      <c r="L104" s="328"/>
      <c r="M104" s="241"/>
      <c r="N104" s="241"/>
    </row>
    <row r="105" spans="1:14" s="625" customFormat="1" x14ac:dyDescent="0.25">
      <c r="A105" s="1009" t="s">
        <v>986</v>
      </c>
      <c r="B105" s="837"/>
      <c r="C105" s="1777"/>
      <c r="D105" s="1777"/>
      <c r="E105" s="1777"/>
      <c r="F105" s="1777"/>
      <c r="G105" s="1777"/>
      <c r="H105" s="1777"/>
      <c r="I105" s="1777"/>
      <c r="J105" s="1777"/>
      <c r="K105" s="1777"/>
      <c r="L105" s="850"/>
      <c r="M105" s="850"/>
      <c r="N105" s="850"/>
    </row>
    <row r="106" spans="1:14" s="625" customFormat="1" x14ac:dyDescent="0.25">
      <c r="A106" s="1010" t="s">
        <v>1665</v>
      </c>
      <c r="B106" s="837"/>
      <c r="C106" s="1777"/>
      <c r="D106" s="1777"/>
      <c r="E106" s="1777"/>
      <c r="F106" s="1777"/>
      <c r="G106" s="1777"/>
      <c r="H106" s="1777"/>
      <c r="I106" s="1777"/>
      <c r="J106" s="1777"/>
      <c r="K106" s="1777"/>
      <c r="L106" s="850"/>
      <c r="M106" s="850"/>
      <c r="N106" s="850"/>
    </row>
    <row r="107" spans="1:14" s="625" customFormat="1" x14ac:dyDescent="0.25">
      <c r="A107" s="1139" t="s">
        <v>682</v>
      </c>
      <c r="B107" s="837"/>
      <c r="C107" s="1777"/>
      <c r="D107" s="1777"/>
      <c r="E107" s="1777"/>
      <c r="F107" s="1777"/>
      <c r="G107" s="1777"/>
      <c r="H107" s="1777"/>
      <c r="I107" s="1777"/>
      <c r="J107" s="1777"/>
      <c r="K107" s="1777"/>
      <c r="L107" s="850"/>
      <c r="M107" s="850"/>
      <c r="N107" s="850"/>
    </row>
    <row r="108" spans="1:14" s="625" customFormat="1" x14ac:dyDescent="0.25">
      <c r="A108" s="1010" t="s">
        <v>2250</v>
      </c>
      <c r="B108" s="837"/>
      <c r="C108" s="1777"/>
      <c r="D108" s="1777"/>
      <c r="E108" s="1777"/>
      <c r="F108" s="1777"/>
      <c r="G108" s="1777"/>
      <c r="H108" s="1777"/>
      <c r="I108" s="1777"/>
      <c r="J108" s="1777"/>
      <c r="K108" s="1777"/>
      <c r="L108" s="850"/>
      <c r="M108" s="850"/>
      <c r="N108" s="850"/>
    </row>
    <row r="109" spans="1:14" s="625" customFormat="1" x14ac:dyDescent="0.25">
      <c r="A109" s="1139" t="s">
        <v>1666</v>
      </c>
      <c r="B109" s="845"/>
      <c r="C109" s="870"/>
      <c r="D109" s="873"/>
      <c r="E109" s="873"/>
      <c r="F109" s="873"/>
      <c r="G109" s="873"/>
      <c r="H109" s="873"/>
      <c r="I109" s="873"/>
      <c r="J109" s="873"/>
      <c r="K109" s="873"/>
    </row>
    <row r="110" spans="1:14" s="625" customFormat="1" x14ac:dyDescent="0.25">
      <c r="A110" s="1139" t="s">
        <v>128</v>
      </c>
      <c r="B110" s="845"/>
      <c r="C110" s="870"/>
      <c r="D110" s="873"/>
      <c r="E110" s="873"/>
      <c r="F110" s="873"/>
      <c r="G110" s="873"/>
      <c r="H110" s="873"/>
      <c r="I110" s="873"/>
      <c r="J110" s="873"/>
      <c r="K110" s="873"/>
    </row>
    <row r="111" spans="1:14" s="625" customFormat="1" x14ac:dyDescent="0.25">
      <c r="A111" s="1139" t="s">
        <v>2062</v>
      </c>
      <c r="B111" s="845"/>
      <c r="C111" s="870"/>
      <c r="D111" s="873"/>
      <c r="E111" s="873"/>
      <c r="F111" s="873"/>
      <c r="G111" s="873"/>
      <c r="H111" s="873"/>
      <c r="I111" s="873"/>
      <c r="J111" s="873"/>
      <c r="K111" s="873"/>
    </row>
    <row r="112" spans="1:14" s="625" customFormat="1" ht="3.75" customHeight="1" x14ac:dyDescent="0.25">
      <c r="A112" s="1139"/>
      <c r="B112" s="845"/>
      <c r="C112" s="870"/>
      <c r="D112" s="873"/>
      <c r="E112" s="873"/>
      <c r="F112" s="873"/>
      <c r="G112" s="873"/>
      <c r="H112" s="873"/>
      <c r="I112" s="873"/>
      <c r="J112" s="873"/>
      <c r="K112" s="873"/>
    </row>
    <row r="113" spans="1:11" s="625" customFormat="1" x14ac:dyDescent="0.25">
      <c r="A113" s="1140" t="s">
        <v>547</v>
      </c>
      <c r="B113" s="845"/>
      <c r="C113" s="873"/>
      <c r="D113" s="873"/>
      <c r="E113" s="873"/>
      <c r="F113" s="873"/>
      <c r="G113" s="873"/>
      <c r="H113" s="873"/>
      <c r="I113" s="873"/>
      <c r="J113" s="873"/>
      <c r="K113" s="873"/>
    </row>
    <row r="114" spans="1:11" s="625" customFormat="1" x14ac:dyDescent="0.25">
      <c r="A114" s="1139" t="s">
        <v>1736</v>
      </c>
      <c r="B114" s="845"/>
      <c r="C114" s="873"/>
      <c r="D114" s="873"/>
      <c r="E114" s="873"/>
      <c r="F114" s="873"/>
      <c r="G114" s="873"/>
      <c r="H114" s="873"/>
      <c r="I114" s="873"/>
      <c r="J114" s="873"/>
      <c r="K114" s="873"/>
    </row>
    <row r="115" spans="1:11" s="625" customFormat="1" x14ac:dyDescent="0.25">
      <c r="A115" s="1139" t="s">
        <v>166</v>
      </c>
      <c r="B115" s="845"/>
      <c r="C115" s="873"/>
      <c r="D115" s="873"/>
      <c r="E115" s="873"/>
      <c r="F115" s="873"/>
      <c r="G115" s="873"/>
      <c r="H115" s="873"/>
      <c r="I115" s="873"/>
      <c r="J115" s="873"/>
      <c r="K115" s="873"/>
    </row>
    <row r="116" spans="1:11" s="625" customFormat="1" x14ac:dyDescent="0.25">
      <c r="A116" s="1139" t="s">
        <v>167</v>
      </c>
      <c r="B116" s="845"/>
      <c r="C116" s="873"/>
      <c r="D116" s="873"/>
      <c r="E116" s="873"/>
      <c r="F116" s="873"/>
      <c r="G116" s="873"/>
      <c r="H116" s="873"/>
      <c r="I116" s="873"/>
      <c r="J116" s="873"/>
      <c r="K116" s="873"/>
    </row>
    <row r="117" spans="1:11" s="625" customFormat="1" x14ac:dyDescent="0.25">
      <c r="A117" s="1139" t="s">
        <v>168</v>
      </c>
      <c r="B117" s="845"/>
      <c r="C117" s="873"/>
      <c r="D117" s="873"/>
      <c r="E117" s="873"/>
      <c r="F117" s="873"/>
      <c r="G117" s="873"/>
      <c r="H117" s="873"/>
      <c r="I117" s="873"/>
      <c r="J117" s="873"/>
      <c r="K117" s="873"/>
    </row>
    <row r="118" spans="1:11" s="625" customFormat="1" x14ac:dyDescent="0.25">
      <c r="A118" s="1139" t="s">
        <v>169</v>
      </c>
      <c r="B118" s="845"/>
      <c r="C118" s="873"/>
      <c r="D118" s="873"/>
      <c r="E118" s="873"/>
      <c r="F118" s="873"/>
      <c r="G118" s="873"/>
      <c r="H118" s="873"/>
      <c r="I118" s="873"/>
      <c r="J118" s="873"/>
      <c r="K118" s="873"/>
    </row>
    <row r="119" spans="1:11" s="625" customFormat="1" x14ac:dyDescent="0.25">
      <c r="A119" s="1139" t="s">
        <v>170</v>
      </c>
      <c r="B119" s="845"/>
      <c r="C119" s="873"/>
      <c r="D119" s="873"/>
      <c r="E119" s="873"/>
      <c r="F119" s="873"/>
      <c r="G119" s="873"/>
      <c r="H119" s="873"/>
      <c r="I119" s="873"/>
      <c r="J119" s="873"/>
      <c r="K119" s="873"/>
    </row>
    <row r="121" spans="1:11" x14ac:dyDescent="0.25">
      <c r="B121" s="148"/>
    </row>
    <row r="122" spans="1:11" x14ac:dyDescent="0.25">
      <c r="B122" s="148"/>
    </row>
    <row r="123" spans="1:11" x14ac:dyDescent="0.25">
      <c r="B123" s="148"/>
    </row>
    <row r="124" spans="1:11" x14ac:dyDescent="0.25">
      <c r="B124" s="148"/>
    </row>
    <row r="125" spans="1:11" x14ac:dyDescent="0.25">
      <c r="B125" s="148"/>
    </row>
    <row r="126" spans="1:11" x14ac:dyDescent="0.25">
      <c r="B126" s="148"/>
    </row>
    <row r="127" spans="1:11" x14ac:dyDescent="0.25">
      <c r="B127" s="148"/>
    </row>
    <row r="128" spans="1:11" x14ac:dyDescent="0.25">
      <c r="B128" s="148"/>
    </row>
    <row r="129" spans="2:2" x14ac:dyDescent="0.25">
      <c r="B129" s="148"/>
    </row>
    <row r="130" spans="2:2" x14ac:dyDescent="0.25">
      <c r="B130" s="148"/>
    </row>
    <row r="131" spans="2:2" x14ac:dyDescent="0.25">
      <c r="B131" s="148"/>
    </row>
    <row r="132" spans="2:2" x14ac:dyDescent="0.25">
      <c r="B132" s="148"/>
    </row>
    <row r="133" spans="2:2" x14ac:dyDescent="0.25">
      <c r="B133" s="148"/>
    </row>
    <row r="134" spans="2:2" x14ac:dyDescent="0.25">
      <c r="B134" s="148"/>
    </row>
    <row r="135" spans="2:2" x14ac:dyDescent="0.25">
      <c r="B135" s="148"/>
    </row>
    <row r="136" spans="2:2" x14ac:dyDescent="0.25">
      <c r="B136" s="148"/>
    </row>
    <row r="137" spans="2:2" x14ac:dyDescent="0.25">
      <c r="B137" s="148"/>
    </row>
    <row r="138" spans="2:2" x14ac:dyDescent="0.25">
      <c r="B138" s="148"/>
    </row>
    <row r="139" spans="2:2" x14ac:dyDescent="0.25">
      <c r="B139" s="148"/>
    </row>
    <row r="140" spans="2:2" x14ac:dyDescent="0.25">
      <c r="B140" s="148"/>
    </row>
    <row r="141" spans="2:2" x14ac:dyDescent="0.25">
      <c r="B141" s="148"/>
    </row>
    <row r="142" spans="2:2" x14ac:dyDescent="0.25">
      <c r="B142" s="148"/>
    </row>
    <row r="143" spans="2:2" x14ac:dyDescent="0.25">
      <c r="B143" s="148"/>
    </row>
    <row r="144" spans="2:2" x14ac:dyDescent="0.25">
      <c r="B144" s="148"/>
    </row>
    <row r="145" spans="2:2" x14ac:dyDescent="0.25">
      <c r="B145" s="148"/>
    </row>
    <row r="146" spans="2:2" x14ac:dyDescent="0.25">
      <c r="B146" s="148"/>
    </row>
    <row r="147" spans="2:2" x14ac:dyDescent="0.25">
      <c r="B147" s="148"/>
    </row>
    <row r="148" spans="2:2" x14ac:dyDescent="0.25">
      <c r="B148" s="148"/>
    </row>
    <row r="149" spans="2:2" x14ac:dyDescent="0.25">
      <c r="B149" s="148"/>
    </row>
    <row r="150" spans="2:2" x14ac:dyDescent="0.25">
      <c r="B150" s="148"/>
    </row>
    <row r="151" spans="2:2" x14ac:dyDescent="0.25">
      <c r="B151" s="148"/>
    </row>
    <row r="152" spans="2:2" x14ac:dyDescent="0.25">
      <c r="B152" s="148"/>
    </row>
    <row r="153" spans="2:2" x14ac:dyDescent="0.25">
      <c r="B153" s="148"/>
    </row>
    <row r="154" spans="2:2" x14ac:dyDescent="0.25">
      <c r="B154" s="148"/>
    </row>
    <row r="155" spans="2:2" x14ac:dyDescent="0.25">
      <c r="B155" s="148"/>
    </row>
    <row r="156" spans="2:2" x14ac:dyDescent="0.25">
      <c r="B156" s="148"/>
    </row>
    <row r="157" spans="2:2" x14ac:dyDescent="0.25">
      <c r="B157" s="148"/>
    </row>
    <row r="158" spans="2:2" x14ac:dyDescent="0.25">
      <c r="B158" s="148"/>
    </row>
    <row r="159" spans="2:2" x14ac:dyDescent="0.25">
      <c r="B159" s="148"/>
    </row>
    <row r="160" spans="2:2" x14ac:dyDescent="0.25">
      <c r="B160" s="148"/>
    </row>
    <row r="161" spans="2:2" x14ac:dyDescent="0.25">
      <c r="B161" s="148"/>
    </row>
    <row r="162" spans="2:2" x14ac:dyDescent="0.25">
      <c r="B162" s="148"/>
    </row>
    <row r="163" spans="2:2" x14ac:dyDescent="0.25">
      <c r="B163" s="148"/>
    </row>
    <row r="164" spans="2:2" x14ac:dyDescent="0.25">
      <c r="B164" s="148"/>
    </row>
    <row r="165" spans="2:2" x14ac:dyDescent="0.25">
      <c r="B165" s="148"/>
    </row>
    <row r="166" spans="2:2" x14ac:dyDescent="0.25">
      <c r="B166" s="148"/>
    </row>
    <row r="167" spans="2:2" x14ac:dyDescent="0.25">
      <c r="B167" s="148"/>
    </row>
    <row r="168" spans="2:2" x14ac:dyDescent="0.25">
      <c r="B168" s="148"/>
    </row>
    <row r="169" spans="2:2" x14ac:dyDescent="0.25">
      <c r="B169" s="148"/>
    </row>
    <row r="170" spans="2:2" x14ac:dyDescent="0.25">
      <c r="B170" s="148"/>
    </row>
    <row r="171" spans="2:2" x14ac:dyDescent="0.25">
      <c r="B171" s="148"/>
    </row>
    <row r="172" spans="2:2" x14ac:dyDescent="0.25">
      <c r="B172" s="148"/>
    </row>
    <row r="173" spans="2:2" x14ac:dyDescent="0.25">
      <c r="B173" s="148"/>
    </row>
    <row r="174" spans="2:2" x14ac:dyDescent="0.25">
      <c r="B174" s="148"/>
    </row>
    <row r="175" spans="2:2" x14ac:dyDescent="0.25">
      <c r="B175" s="148"/>
    </row>
    <row r="176" spans="2:2" x14ac:dyDescent="0.25">
      <c r="B176" s="148"/>
    </row>
    <row r="177" spans="2:2" x14ac:dyDescent="0.25">
      <c r="B177" s="148"/>
    </row>
    <row r="178" spans="2:2" x14ac:dyDescent="0.25">
      <c r="B178" s="148"/>
    </row>
    <row r="179" spans="2:2" x14ac:dyDescent="0.25">
      <c r="B179" s="148"/>
    </row>
    <row r="180" spans="2:2" x14ac:dyDescent="0.25">
      <c r="B180" s="148"/>
    </row>
    <row r="181" spans="2:2" x14ac:dyDescent="0.25">
      <c r="B181" s="148"/>
    </row>
    <row r="182" spans="2:2" x14ac:dyDescent="0.25">
      <c r="B182" s="148"/>
    </row>
    <row r="183" spans="2:2" x14ac:dyDescent="0.25">
      <c r="B183" s="148"/>
    </row>
    <row r="184" spans="2:2" x14ac:dyDescent="0.25">
      <c r="B184" s="148"/>
    </row>
    <row r="185" spans="2:2" x14ac:dyDescent="0.25">
      <c r="B185" s="148"/>
    </row>
    <row r="186" spans="2:2" x14ac:dyDescent="0.25">
      <c r="B186" s="148"/>
    </row>
    <row r="187" spans="2:2" x14ac:dyDescent="0.25">
      <c r="B187" s="148"/>
    </row>
    <row r="188" spans="2:2" x14ac:dyDescent="0.25">
      <c r="B188" s="148"/>
    </row>
    <row r="189" spans="2:2" x14ac:dyDescent="0.25">
      <c r="B189" s="148"/>
    </row>
    <row r="190" spans="2:2" x14ac:dyDescent="0.25">
      <c r="B190" s="148"/>
    </row>
    <row r="191" spans="2:2" x14ac:dyDescent="0.25">
      <c r="B191" s="148"/>
    </row>
    <row r="192" spans="2:2" x14ac:dyDescent="0.25">
      <c r="B192" s="148"/>
    </row>
    <row r="193" spans="2:2" x14ac:dyDescent="0.25">
      <c r="B193" s="148"/>
    </row>
    <row r="194" spans="2:2" x14ac:dyDescent="0.25">
      <c r="B194" s="148"/>
    </row>
    <row r="195" spans="2:2" x14ac:dyDescent="0.25">
      <c r="B195" s="148"/>
    </row>
  </sheetData>
  <mergeCells count="2">
    <mergeCell ref="F2:H2"/>
    <mergeCell ref="I2:K2"/>
  </mergeCells>
  <phoneticPr fontId="4" type="noConversion"/>
  <dataValidations count="1">
    <dataValidation type="decimal" allowBlank="1" showInputMessage="1" showErrorMessage="1" sqref="C17:K28 C33:K44 C52:K64 C69:K80 C85:K96 C6:K12">
      <formula1>-99999999999999900000</formula1>
      <formula2>99999999999999900000</formula2>
    </dataValidation>
  </dataValidations>
  <pageMargins left="0.75" right="0.75" top="1" bottom="1" header="0.5" footer="0.5"/>
  <pageSetup scale="48" orientation="portrait" r:id="rId1"/>
  <headerFooter alignWithMargins="0"/>
  <rowBreaks count="1" manualBreakCount="1">
    <brk id="104"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enableFormatConditionsCalculation="0">
    <tabColor indexed="42"/>
    <pageSetUpPr fitToPage="1"/>
  </sheetPr>
  <dimension ref="A1:O70"/>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8.85546875" style="338" customWidth="1"/>
    <col min="2" max="2" width="3" style="1928" customWidth="1"/>
    <col min="3" max="3" width="4.140625" style="1928" customWidth="1"/>
    <col min="4" max="4" width="9.28515625" style="338" customWidth="1"/>
    <col min="5" max="5" width="9.85546875" style="338" customWidth="1"/>
    <col min="6" max="9" width="9.28515625" style="338" customWidth="1"/>
    <col min="10" max="10" width="9.85546875" style="148" customWidth="1"/>
    <col min="11" max="11" width="9.5703125" style="148" customWidth="1"/>
    <col min="12" max="12" width="9.85546875" style="148" customWidth="1"/>
    <col min="13" max="15" width="9.5703125" style="148" customWidth="1"/>
    <col min="16" max="16" width="9.85546875" style="148" customWidth="1"/>
    <col min="17" max="19" width="9.5703125" style="148" customWidth="1"/>
    <col min="20" max="21" width="9.85546875" style="148" customWidth="1"/>
    <col min="22" max="16384" width="9.140625" style="148"/>
  </cols>
  <sheetData>
    <row r="1" spans="1:11" ht="13.5" customHeight="1" x14ac:dyDescent="0.25">
      <c r="A1" s="1997" t="s">
        <v>2544</v>
      </c>
      <c r="B1" s="1997"/>
      <c r="C1" s="1997"/>
      <c r="D1" s="1997"/>
      <c r="E1" s="1997"/>
      <c r="F1" s="1997"/>
      <c r="G1" s="1997"/>
      <c r="H1" s="1997"/>
      <c r="I1" s="1997"/>
    </row>
    <row r="2" spans="1:11" ht="24.75" customHeight="1" x14ac:dyDescent="0.25">
      <c r="A2" s="786" t="s">
        <v>334</v>
      </c>
      <c r="B2" s="379" t="s">
        <v>429</v>
      </c>
      <c r="C2" s="2750" t="s">
        <v>2247</v>
      </c>
      <c r="D2" s="2754" t="s">
        <v>112</v>
      </c>
      <c r="E2" s="1976" t="s">
        <v>2249</v>
      </c>
      <c r="F2" s="2754" t="s">
        <v>113</v>
      </c>
      <c r="G2" s="2754" t="s">
        <v>762</v>
      </c>
      <c r="H2" s="664" t="s">
        <v>973</v>
      </c>
      <c r="I2" s="664" t="s">
        <v>974</v>
      </c>
    </row>
    <row r="3" spans="1:11" ht="29.25" customHeight="1" x14ac:dyDescent="0.25">
      <c r="A3" s="179" t="s">
        <v>780</v>
      </c>
      <c r="B3" s="2586"/>
      <c r="C3" s="2751"/>
      <c r="D3" s="2755"/>
      <c r="E3" s="1975" t="s">
        <v>2248</v>
      </c>
      <c r="F3" s="2755"/>
      <c r="G3" s="2755"/>
      <c r="H3" s="800"/>
      <c r="I3" s="800" t="s">
        <v>1824</v>
      </c>
    </row>
    <row r="4" spans="1:11" ht="11.25" customHeight="1" x14ac:dyDescent="0.25">
      <c r="A4" s="651" t="s">
        <v>111</v>
      </c>
      <c r="B4" s="318">
        <v>3</v>
      </c>
      <c r="C4" s="666"/>
      <c r="D4" s="355"/>
      <c r="E4" s="355"/>
      <c r="F4" s="355"/>
      <c r="G4" s="355"/>
      <c r="H4" s="356"/>
      <c r="I4" s="671"/>
    </row>
    <row r="5" spans="1:11" ht="11.25" customHeight="1" x14ac:dyDescent="0.25">
      <c r="A5" s="249" t="s">
        <v>722</v>
      </c>
      <c r="B5" s="318">
        <v>4</v>
      </c>
      <c r="C5" s="2587"/>
      <c r="D5" s="1587"/>
      <c r="E5" s="1587"/>
      <c r="F5" s="1587"/>
      <c r="G5" s="355"/>
      <c r="H5" s="356"/>
      <c r="I5" s="671">
        <v>0</v>
      </c>
    </row>
    <row r="6" spans="1:11" ht="11.25" customHeight="1" x14ac:dyDescent="0.25">
      <c r="A6" s="249" t="s">
        <v>1310</v>
      </c>
      <c r="B6" s="318"/>
      <c r="C6" s="2587"/>
      <c r="D6" s="1587"/>
      <c r="E6" s="1587"/>
      <c r="F6" s="1587"/>
      <c r="G6" s="355"/>
      <c r="H6" s="356"/>
      <c r="I6" s="671">
        <v>0</v>
      </c>
    </row>
    <row r="7" spans="1:11" ht="11.25" customHeight="1" x14ac:dyDescent="0.25">
      <c r="A7" s="249" t="s">
        <v>723</v>
      </c>
      <c r="B7" s="318"/>
      <c r="C7" s="2587"/>
      <c r="D7" s="1587">
        <v>400275.82079999999</v>
      </c>
      <c r="E7" s="1587">
        <v>154696.00320000001</v>
      </c>
      <c r="F7" s="1587">
        <v>92396.894400000005</v>
      </c>
      <c r="G7" s="355"/>
      <c r="H7" s="356"/>
      <c r="I7" s="671">
        <v>647368.71840000001</v>
      </c>
    </row>
    <row r="8" spans="1:11" ht="11.25" customHeight="1" x14ac:dyDescent="0.25">
      <c r="A8" s="249" t="s">
        <v>282</v>
      </c>
      <c r="B8" s="318"/>
      <c r="C8" s="2587"/>
      <c r="D8" s="1587"/>
      <c r="E8" s="1587"/>
      <c r="F8" s="1587"/>
      <c r="G8" s="355"/>
      <c r="H8" s="356"/>
      <c r="I8" s="671">
        <v>0</v>
      </c>
    </row>
    <row r="9" spans="1:11" ht="11.25" customHeight="1" x14ac:dyDescent="0.25">
      <c r="A9" s="249" t="s">
        <v>463</v>
      </c>
      <c r="B9" s="318"/>
      <c r="C9" s="2587"/>
      <c r="D9" s="1587"/>
      <c r="E9" s="1587"/>
      <c r="F9" s="1587"/>
      <c r="G9" s="355"/>
      <c r="H9" s="356"/>
      <c r="I9" s="671">
        <v>0</v>
      </c>
    </row>
    <row r="10" spans="1:11" ht="11.25" customHeight="1" x14ac:dyDescent="0.25">
      <c r="A10" s="249" t="s">
        <v>464</v>
      </c>
      <c r="B10" s="318"/>
      <c r="C10" s="2587"/>
      <c r="D10" s="1587">
        <v>840577.04640000011</v>
      </c>
      <c r="E10" s="1587">
        <v>129688.9056</v>
      </c>
      <c r="F10" s="1587">
        <v>412828.35840000003</v>
      </c>
      <c r="G10" s="355"/>
      <c r="H10" s="356"/>
      <c r="I10" s="671">
        <v>1383094.3104000001</v>
      </c>
    </row>
    <row r="11" spans="1:11" ht="11.25" customHeight="1" x14ac:dyDescent="0.25">
      <c r="A11" s="652" t="s">
        <v>2545</v>
      </c>
      <c r="B11" s="653">
        <v>8</v>
      </c>
      <c r="C11" s="667">
        <v>0</v>
      </c>
      <c r="D11" s="668">
        <v>1240852.8672000002</v>
      </c>
      <c r="E11" s="668">
        <v>284384.90879999998</v>
      </c>
      <c r="F11" s="668">
        <v>505225.25280000002</v>
      </c>
      <c r="G11" s="668"/>
      <c r="H11" s="670"/>
      <c r="I11" s="2588">
        <v>2030463.0288</v>
      </c>
      <c r="K11" s="1991">
        <v>0</v>
      </c>
    </row>
    <row r="12" spans="1:11" x14ac:dyDescent="0.25">
      <c r="A12" s="658"/>
      <c r="B12" s="318"/>
      <c r="C12" s="666"/>
      <c r="D12" s="355"/>
      <c r="E12" s="355"/>
      <c r="F12" s="355"/>
      <c r="G12" s="355"/>
      <c r="H12" s="356"/>
      <c r="I12" s="671"/>
    </row>
    <row r="13" spans="1:11" ht="11.25" customHeight="1" x14ac:dyDescent="0.25">
      <c r="A13" s="651" t="s">
        <v>1308</v>
      </c>
      <c r="B13" s="318">
        <v>5</v>
      </c>
      <c r="C13" s="666"/>
      <c r="D13" s="355"/>
      <c r="E13" s="355"/>
      <c r="F13" s="355"/>
      <c r="G13" s="355"/>
      <c r="H13" s="356"/>
      <c r="I13" s="671"/>
    </row>
    <row r="14" spans="1:11" ht="11.25" customHeight="1" x14ac:dyDescent="0.25">
      <c r="A14" s="2477" t="s">
        <v>114</v>
      </c>
      <c r="B14" s="318"/>
      <c r="C14" s="2587"/>
      <c r="D14" s="1587">
        <v>601332.22147199989</v>
      </c>
      <c r="E14" s="1587">
        <v>233966.42400000003</v>
      </c>
      <c r="F14" s="1587">
        <v>149743.79999999999</v>
      </c>
      <c r="G14" s="1587"/>
      <c r="H14" s="356"/>
      <c r="I14" s="671">
        <v>985042.44547199993</v>
      </c>
    </row>
    <row r="15" spans="1:11" ht="11.25" customHeight="1" x14ac:dyDescent="0.25">
      <c r="A15" s="2477" t="s">
        <v>115</v>
      </c>
      <c r="B15" s="318"/>
      <c r="C15" s="2587"/>
      <c r="D15" s="1587">
        <v>399967</v>
      </c>
      <c r="E15" s="1587">
        <v>188819.424</v>
      </c>
      <c r="F15" s="1587">
        <v>156000</v>
      </c>
      <c r="G15" s="1587"/>
      <c r="H15" s="356"/>
      <c r="I15" s="671">
        <v>744786.424</v>
      </c>
    </row>
    <row r="16" spans="1:11" ht="11.25" customHeight="1" x14ac:dyDescent="0.25">
      <c r="A16" s="2477" t="s">
        <v>2396</v>
      </c>
      <c r="B16" s="318"/>
      <c r="C16" s="2587"/>
      <c r="D16" s="1587">
        <v>303226.2</v>
      </c>
      <c r="E16" s="1587">
        <v>170570.18400000001</v>
      </c>
      <c r="F16" s="1587">
        <v>132000</v>
      </c>
      <c r="G16" s="1587"/>
      <c r="H16" s="356"/>
      <c r="I16" s="671">
        <v>605796.38400000008</v>
      </c>
    </row>
    <row r="17" spans="1:9" ht="11.25" customHeight="1" x14ac:dyDescent="0.25">
      <c r="A17" s="2477" t="s">
        <v>2405</v>
      </c>
      <c r="B17" s="318"/>
      <c r="C17" s="2587"/>
      <c r="D17" s="1587">
        <v>385555.20480000001</v>
      </c>
      <c r="E17" s="1587">
        <v>107984.304</v>
      </c>
      <c r="F17" s="1587">
        <v>72000</v>
      </c>
      <c r="G17" s="1587"/>
      <c r="H17" s="356"/>
      <c r="I17" s="671">
        <v>565539.50879999995</v>
      </c>
    </row>
    <row r="18" spans="1:9" ht="11.25" customHeight="1" x14ac:dyDescent="0.25">
      <c r="A18" s="2477"/>
      <c r="B18" s="318"/>
      <c r="C18" s="2587"/>
      <c r="D18" s="1587"/>
      <c r="E18" s="1587"/>
      <c r="F18" s="1587"/>
      <c r="G18" s="1587"/>
      <c r="H18" s="356"/>
      <c r="I18" s="671">
        <v>0</v>
      </c>
    </row>
    <row r="19" spans="1:9" ht="11.25" customHeight="1" x14ac:dyDescent="0.25">
      <c r="A19" s="2477"/>
      <c r="B19" s="318"/>
      <c r="C19" s="2587"/>
      <c r="D19" s="1587"/>
      <c r="E19" s="1587"/>
      <c r="F19" s="1587"/>
      <c r="G19" s="1587"/>
      <c r="H19" s="356"/>
      <c r="I19" s="671">
        <v>0</v>
      </c>
    </row>
    <row r="20" spans="1:9" ht="5.0999999999999996" customHeight="1" x14ac:dyDescent="0.25">
      <c r="A20" s="658"/>
      <c r="B20" s="318"/>
      <c r="C20" s="2587"/>
      <c r="D20" s="1587"/>
      <c r="E20" s="1587"/>
      <c r="F20" s="1587"/>
      <c r="G20" s="1587"/>
      <c r="H20" s="1588"/>
      <c r="I20" s="671"/>
    </row>
    <row r="21" spans="1:9" ht="11.25" customHeight="1" x14ac:dyDescent="0.25">
      <c r="A21" s="768" t="s">
        <v>325</v>
      </c>
      <c r="B21" s="318"/>
      <c r="C21" s="666"/>
      <c r="D21" s="355"/>
      <c r="E21" s="355"/>
      <c r="F21" s="355"/>
      <c r="G21" s="355"/>
      <c r="H21" s="356"/>
      <c r="I21" s="671"/>
    </row>
    <row r="22" spans="1:9" ht="11.25" customHeight="1" x14ac:dyDescent="0.25">
      <c r="A22" s="2477" t="s">
        <v>2397</v>
      </c>
      <c r="B22" s="318"/>
      <c r="C22" s="2587"/>
      <c r="D22" s="1587">
        <v>478001.60639999993</v>
      </c>
      <c r="E22" s="1587">
        <v>3099.0239999999999</v>
      </c>
      <c r="F22" s="1587">
        <v>101126.61</v>
      </c>
      <c r="G22" s="1587"/>
      <c r="H22" s="356"/>
      <c r="I22" s="671">
        <v>582227.24039999989</v>
      </c>
    </row>
    <row r="23" spans="1:9" ht="11.25" customHeight="1" x14ac:dyDescent="0.25">
      <c r="A23" s="2477" t="s">
        <v>2398</v>
      </c>
      <c r="B23" s="318"/>
      <c r="C23" s="2587"/>
      <c r="D23" s="1587">
        <v>215806.68000000002</v>
      </c>
      <c r="E23" s="1587">
        <v>140179.70400000003</v>
      </c>
      <c r="F23" s="1587">
        <v>99894</v>
      </c>
      <c r="G23" s="1587"/>
      <c r="H23" s="356"/>
      <c r="I23" s="671">
        <v>455880.38400000008</v>
      </c>
    </row>
    <row r="24" spans="1:9" ht="11.25" customHeight="1" x14ac:dyDescent="0.25">
      <c r="A24" s="2477"/>
      <c r="B24" s="318"/>
      <c r="C24" s="2587"/>
      <c r="D24" s="1587"/>
      <c r="E24" s="1587"/>
      <c r="F24" s="1587"/>
      <c r="G24" s="1587"/>
      <c r="H24" s="356"/>
      <c r="I24" s="671">
        <v>0</v>
      </c>
    </row>
    <row r="25" spans="1:9" ht="11.25" customHeight="1" x14ac:dyDescent="0.25">
      <c r="A25" s="2477"/>
      <c r="B25" s="318"/>
      <c r="C25" s="2587"/>
      <c r="D25" s="1587"/>
      <c r="E25" s="1587"/>
      <c r="F25" s="1587"/>
      <c r="G25" s="1587"/>
      <c r="H25" s="356"/>
      <c r="I25" s="671">
        <v>0</v>
      </c>
    </row>
    <row r="26" spans="1:9" ht="11.25" customHeight="1" x14ac:dyDescent="0.25">
      <c r="A26" s="2477"/>
      <c r="B26" s="318"/>
      <c r="C26" s="2587"/>
      <c r="D26" s="1587"/>
      <c r="E26" s="1587"/>
      <c r="F26" s="1587"/>
      <c r="G26" s="1587"/>
      <c r="H26" s="356"/>
      <c r="I26" s="671">
        <v>0</v>
      </c>
    </row>
    <row r="27" spans="1:9" ht="11.25" customHeight="1" x14ac:dyDescent="0.25">
      <c r="A27" s="2477"/>
      <c r="B27" s="318"/>
      <c r="C27" s="2587"/>
      <c r="D27" s="1587"/>
      <c r="E27" s="1587"/>
      <c r="F27" s="1587"/>
      <c r="G27" s="1587"/>
      <c r="H27" s="356"/>
      <c r="I27" s="671">
        <v>0</v>
      </c>
    </row>
    <row r="28" spans="1:9" ht="11.25" customHeight="1" x14ac:dyDescent="0.25">
      <c r="A28" s="2477"/>
      <c r="B28" s="318"/>
      <c r="C28" s="2587"/>
      <c r="D28" s="1587"/>
      <c r="E28" s="1587"/>
      <c r="F28" s="1587"/>
      <c r="G28" s="1587"/>
      <c r="H28" s="356"/>
      <c r="I28" s="671">
        <v>0</v>
      </c>
    </row>
    <row r="29" spans="1:9" ht="11.25" customHeight="1" x14ac:dyDescent="0.25">
      <c r="A29" s="2477"/>
      <c r="B29" s="318"/>
      <c r="C29" s="2587"/>
      <c r="D29" s="1587"/>
      <c r="E29" s="1587"/>
      <c r="F29" s="1587"/>
      <c r="G29" s="1587"/>
      <c r="H29" s="356"/>
      <c r="I29" s="671">
        <v>0</v>
      </c>
    </row>
    <row r="30" spans="1:9" ht="11.25" customHeight="1" x14ac:dyDescent="0.25">
      <c r="A30" s="2477"/>
      <c r="B30" s="318"/>
      <c r="C30" s="2587"/>
      <c r="D30" s="1587"/>
      <c r="E30" s="1587"/>
      <c r="F30" s="1587"/>
      <c r="G30" s="1587"/>
      <c r="H30" s="356"/>
      <c r="I30" s="671">
        <v>0</v>
      </c>
    </row>
    <row r="31" spans="1:9" ht="11.25" customHeight="1" x14ac:dyDescent="0.25">
      <c r="A31" s="2477"/>
      <c r="B31" s="318"/>
      <c r="C31" s="2587"/>
      <c r="D31" s="1587"/>
      <c r="E31" s="1587"/>
      <c r="F31" s="1587"/>
      <c r="G31" s="1587"/>
      <c r="H31" s="356"/>
      <c r="I31" s="671">
        <v>0</v>
      </c>
    </row>
    <row r="32" spans="1:9" ht="11.25" customHeight="1" x14ac:dyDescent="0.25">
      <c r="A32" s="2477"/>
      <c r="B32" s="318"/>
      <c r="C32" s="2587"/>
      <c r="D32" s="1587"/>
      <c r="E32" s="1587"/>
      <c r="F32" s="1587"/>
      <c r="G32" s="1587"/>
      <c r="H32" s="356"/>
      <c r="I32" s="671">
        <v>0</v>
      </c>
    </row>
    <row r="33" spans="1:9" ht="11.25" customHeight="1" x14ac:dyDescent="0.25">
      <c r="A33" s="873"/>
      <c r="B33" s="318"/>
      <c r="C33" s="2587"/>
      <c r="D33" s="1587"/>
      <c r="E33" s="1587"/>
      <c r="F33" s="1587"/>
      <c r="G33" s="1587"/>
      <c r="H33" s="356"/>
      <c r="I33" s="671">
        <v>0</v>
      </c>
    </row>
    <row r="34" spans="1:9" ht="11.25" customHeight="1" x14ac:dyDescent="0.25">
      <c r="A34" s="873"/>
      <c r="B34" s="318"/>
      <c r="C34" s="2587"/>
      <c r="D34" s="1587"/>
      <c r="E34" s="1587"/>
      <c r="F34" s="1587"/>
      <c r="G34" s="1587"/>
      <c r="H34" s="356"/>
      <c r="I34" s="671">
        <v>0</v>
      </c>
    </row>
    <row r="35" spans="1:9" ht="11.25" customHeight="1" x14ac:dyDescent="0.25">
      <c r="A35" s="652" t="s">
        <v>2546</v>
      </c>
      <c r="B35" s="653">
        <v>8</v>
      </c>
      <c r="C35" s="667">
        <v>0</v>
      </c>
      <c r="D35" s="668">
        <v>2383888.912672</v>
      </c>
      <c r="E35" s="668">
        <v>844619.06400000001</v>
      </c>
      <c r="F35" s="668">
        <v>710764.41</v>
      </c>
      <c r="G35" s="668">
        <v>0</v>
      </c>
      <c r="H35" s="670"/>
      <c r="I35" s="2588">
        <v>3939272.3866719999</v>
      </c>
    </row>
    <row r="36" spans="1:9" x14ac:dyDescent="0.25">
      <c r="A36" s="658"/>
      <c r="B36" s="318"/>
      <c r="C36" s="666"/>
      <c r="D36" s="355"/>
      <c r="E36" s="355"/>
      <c r="F36" s="355"/>
      <c r="G36" s="355"/>
      <c r="H36" s="356"/>
      <c r="I36" s="671"/>
    </row>
    <row r="37" spans="1:9" ht="11.25" customHeight="1" x14ac:dyDescent="0.25">
      <c r="A37" s="651" t="s">
        <v>763</v>
      </c>
      <c r="B37" s="318" t="s">
        <v>2251</v>
      </c>
      <c r="C37" s="666"/>
      <c r="D37" s="355"/>
      <c r="E37" s="355"/>
      <c r="F37" s="355"/>
      <c r="G37" s="355"/>
      <c r="H37" s="356"/>
      <c r="I37" s="671"/>
    </row>
    <row r="38" spans="1:9" ht="11.25" customHeight="1" x14ac:dyDescent="0.25">
      <c r="A38" s="249" t="s">
        <v>116</v>
      </c>
      <c r="B38" s="318"/>
      <c r="C38" s="666"/>
      <c r="D38" s="355"/>
      <c r="E38" s="355"/>
      <c r="F38" s="355"/>
      <c r="G38" s="355"/>
      <c r="H38" s="356"/>
      <c r="I38" s="671"/>
    </row>
    <row r="39" spans="1:9" ht="11.25" customHeight="1" x14ac:dyDescent="0.25">
      <c r="A39" s="2477"/>
      <c r="B39" s="318"/>
      <c r="C39" s="2587"/>
      <c r="D39" s="1587"/>
      <c r="E39" s="1587"/>
      <c r="F39" s="1587"/>
      <c r="G39" s="1587"/>
      <c r="H39" s="356"/>
      <c r="I39" s="671">
        <v>0</v>
      </c>
    </row>
    <row r="40" spans="1:9" ht="11.25" customHeight="1" x14ac:dyDescent="0.25">
      <c r="A40" s="2477"/>
      <c r="B40" s="318"/>
      <c r="C40" s="2587"/>
      <c r="D40" s="1587"/>
      <c r="E40" s="1587"/>
      <c r="F40" s="1587"/>
      <c r="G40" s="1587"/>
      <c r="H40" s="356"/>
      <c r="I40" s="671">
        <v>0</v>
      </c>
    </row>
    <row r="41" spans="1:9" ht="11.25" customHeight="1" x14ac:dyDescent="0.25">
      <c r="A41" s="2477"/>
      <c r="B41" s="318"/>
      <c r="C41" s="2587"/>
      <c r="D41" s="1587"/>
      <c r="E41" s="1587"/>
      <c r="F41" s="1587"/>
      <c r="G41" s="1587"/>
      <c r="H41" s="356"/>
      <c r="I41" s="671">
        <v>0</v>
      </c>
    </row>
    <row r="42" spans="1:9" ht="11.25" customHeight="1" x14ac:dyDescent="0.25">
      <c r="A42" s="2477"/>
      <c r="B42" s="318"/>
      <c r="C42" s="2587"/>
      <c r="D42" s="1587"/>
      <c r="E42" s="1587"/>
      <c r="F42" s="1587"/>
      <c r="G42" s="1587"/>
      <c r="H42" s="356"/>
      <c r="I42" s="671">
        <v>0</v>
      </c>
    </row>
    <row r="43" spans="1:9" ht="11.25" customHeight="1" x14ac:dyDescent="0.25">
      <c r="A43" s="2477"/>
      <c r="B43" s="318"/>
      <c r="C43" s="2587"/>
      <c r="D43" s="1587"/>
      <c r="E43" s="1587"/>
      <c r="F43" s="1587"/>
      <c r="G43" s="1587"/>
      <c r="H43" s="356"/>
      <c r="I43" s="671">
        <v>0</v>
      </c>
    </row>
    <row r="44" spans="1:9" ht="11.25" customHeight="1" x14ac:dyDescent="0.25">
      <c r="A44" s="2477"/>
      <c r="B44" s="318"/>
      <c r="C44" s="2587"/>
      <c r="D44" s="1587"/>
      <c r="E44" s="1587"/>
      <c r="F44" s="1587"/>
      <c r="G44" s="1587"/>
      <c r="H44" s="356"/>
      <c r="I44" s="671">
        <v>0</v>
      </c>
    </row>
    <row r="45" spans="1:9" ht="11.25" customHeight="1" x14ac:dyDescent="0.25">
      <c r="A45" s="2477"/>
      <c r="B45" s="318"/>
      <c r="C45" s="2587"/>
      <c r="D45" s="1587"/>
      <c r="E45" s="1587"/>
      <c r="F45" s="1587"/>
      <c r="G45" s="1587"/>
      <c r="H45" s="356"/>
      <c r="I45" s="671">
        <v>0</v>
      </c>
    </row>
    <row r="46" spans="1:9" ht="11.25" customHeight="1" x14ac:dyDescent="0.25">
      <c r="A46" s="2477"/>
      <c r="B46" s="318"/>
      <c r="C46" s="2587"/>
      <c r="D46" s="1587"/>
      <c r="E46" s="1587"/>
      <c r="F46" s="1587"/>
      <c r="G46" s="1587"/>
      <c r="H46" s="356"/>
      <c r="I46" s="671">
        <v>0</v>
      </c>
    </row>
    <row r="47" spans="1:9" ht="11.25" customHeight="1" x14ac:dyDescent="0.25">
      <c r="A47" s="2477"/>
      <c r="B47" s="318"/>
      <c r="C47" s="2587"/>
      <c r="D47" s="1587"/>
      <c r="E47" s="1587"/>
      <c r="F47" s="1587"/>
      <c r="G47" s="1587"/>
      <c r="H47" s="356"/>
      <c r="I47" s="671">
        <v>0</v>
      </c>
    </row>
    <row r="48" spans="1:9" ht="11.25" customHeight="1" x14ac:dyDescent="0.25">
      <c r="A48" s="2477"/>
      <c r="B48" s="318"/>
      <c r="C48" s="2587"/>
      <c r="D48" s="1587"/>
      <c r="E48" s="1587"/>
      <c r="F48" s="1587"/>
      <c r="G48" s="1587"/>
      <c r="H48" s="356"/>
      <c r="I48" s="671">
        <v>0</v>
      </c>
    </row>
    <row r="49" spans="1:15" ht="11.25" customHeight="1" x14ac:dyDescent="0.25">
      <c r="A49" s="2477"/>
      <c r="B49" s="318"/>
      <c r="C49" s="2587"/>
      <c r="D49" s="1587"/>
      <c r="E49" s="1587"/>
      <c r="F49" s="1587"/>
      <c r="G49" s="1587"/>
      <c r="H49" s="356"/>
      <c r="I49" s="671">
        <v>0</v>
      </c>
    </row>
    <row r="50" spans="1:15" ht="11.25" customHeight="1" x14ac:dyDescent="0.25">
      <c r="A50" s="2477"/>
      <c r="B50" s="318"/>
      <c r="C50" s="2587"/>
      <c r="D50" s="1587"/>
      <c r="E50" s="1587"/>
      <c r="F50" s="1587"/>
      <c r="G50" s="1587"/>
      <c r="H50" s="356"/>
      <c r="I50" s="671">
        <v>0</v>
      </c>
    </row>
    <row r="51" spans="1:15" ht="11.25" customHeight="1" x14ac:dyDescent="0.25">
      <c r="A51" s="2477"/>
      <c r="B51" s="318"/>
      <c r="C51" s="2587"/>
      <c r="D51" s="1587"/>
      <c r="E51" s="1587"/>
      <c r="F51" s="1587"/>
      <c r="G51" s="1587"/>
      <c r="H51" s="356"/>
      <c r="I51" s="671">
        <v>0</v>
      </c>
    </row>
    <row r="52" spans="1:15" ht="11.25" customHeight="1" x14ac:dyDescent="0.25">
      <c r="A52" s="2477"/>
      <c r="B52" s="318"/>
      <c r="C52" s="2587"/>
      <c r="D52" s="1587"/>
      <c r="E52" s="1587"/>
      <c r="F52" s="1587"/>
      <c r="G52" s="1587"/>
      <c r="H52" s="356"/>
      <c r="I52" s="671">
        <v>0</v>
      </c>
    </row>
    <row r="53" spans="1:15" ht="11.25" customHeight="1" x14ac:dyDescent="0.25">
      <c r="A53" s="2477"/>
      <c r="B53" s="318"/>
      <c r="C53" s="2587"/>
      <c r="D53" s="1587"/>
      <c r="E53" s="1587"/>
      <c r="F53" s="1587"/>
      <c r="G53" s="1587"/>
      <c r="H53" s="356"/>
      <c r="I53" s="671">
        <v>0</v>
      </c>
    </row>
    <row r="54" spans="1:15" ht="11.25" customHeight="1" x14ac:dyDescent="0.25">
      <c r="A54" s="2477"/>
      <c r="B54" s="318"/>
      <c r="C54" s="2587"/>
      <c r="D54" s="1587"/>
      <c r="E54" s="1587"/>
      <c r="F54" s="1587"/>
      <c r="G54" s="1587"/>
      <c r="H54" s="356"/>
      <c r="I54" s="671">
        <v>0</v>
      </c>
    </row>
    <row r="55" spans="1:15" ht="11.25" customHeight="1" x14ac:dyDescent="0.25">
      <c r="A55" s="652" t="s">
        <v>326</v>
      </c>
      <c r="B55" s="653">
        <v>8</v>
      </c>
      <c r="C55" s="667">
        <v>0</v>
      </c>
      <c r="D55" s="668">
        <v>0</v>
      </c>
      <c r="E55" s="668">
        <v>0</v>
      </c>
      <c r="F55" s="668">
        <v>0</v>
      </c>
      <c r="G55" s="668">
        <v>0</v>
      </c>
      <c r="H55" s="670"/>
      <c r="I55" s="2588">
        <v>0</v>
      </c>
    </row>
    <row r="56" spans="1:15" x14ac:dyDescent="0.25">
      <c r="A56" s="658"/>
      <c r="B56" s="318"/>
      <c r="C56" s="666"/>
      <c r="D56" s="355"/>
      <c r="E56" s="355"/>
      <c r="F56" s="355"/>
      <c r="G56" s="355"/>
      <c r="H56" s="356"/>
      <c r="I56" s="671"/>
    </row>
    <row r="57" spans="1:15" s="635" customFormat="1" ht="25.5" x14ac:dyDescent="0.2">
      <c r="A57" s="2589" t="s">
        <v>283</v>
      </c>
      <c r="B57" s="2526"/>
      <c r="C57" s="2590">
        <v>0</v>
      </c>
      <c r="D57" s="2591">
        <v>3624741.7798720002</v>
      </c>
      <c r="E57" s="2591">
        <v>1129003.9728000001</v>
      </c>
      <c r="F57" s="2591">
        <v>1215989.6628</v>
      </c>
      <c r="G57" s="2591">
        <v>0</v>
      </c>
      <c r="H57" s="2592"/>
      <c r="I57" s="2593">
        <v>5969735.4154719999</v>
      </c>
    </row>
    <row r="58" spans="1:15" ht="5.0999999999999996" customHeight="1" x14ac:dyDescent="0.25">
      <c r="A58" s="1774"/>
      <c r="B58" s="388"/>
      <c r="C58" s="388"/>
      <c r="D58" s="331"/>
      <c r="E58" s="331"/>
      <c r="F58" s="331"/>
      <c r="G58" s="331"/>
      <c r="H58" s="331"/>
      <c r="I58" s="331"/>
      <c r="J58" s="241"/>
      <c r="K58" s="241"/>
      <c r="L58" s="241"/>
    </row>
    <row r="59" spans="1:15" s="625" customFormat="1" x14ac:dyDescent="0.25">
      <c r="A59" s="1787" t="s">
        <v>986</v>
      </c>
      <c r="B59" s="1927"/>
      <c r="C59" s="1927"/>
      <c r="D59" s="1777"/>
      <c r="E59" s="1777"/>
      <c r="F59" s="1777"/>
      <c r="G59" s="1777"/>
      <c r="H59" s="1777"/>
      <c r="I59" s="1777"/>
      <c r="J59" s="850"/>
      <c r="K59" s="850"/>
      <c r="L59" s="850"/>
    </row>
    <row r="60" spans="1:15" s="873" customFormat="1" x14ac:dyDescent="0.25">
      <c r="A60" s="1973" t="s">
        <v>972</v>
      </c>
      <c r="B60" s="1974"/>
      <c r="C60" s="1974"/>
    </row>
    <row r="61" spans="1:15" s="625" customFormat="1" x14ac:dyDescent="0.25">
      <c r="A61" s="1973" t="s">
        <v>2252</v>
      </c>
      <c r="B61" s="1974"/>
      <c r="C61" s="1974"/>
      <c r="D61" s="873"/>
      <c r="E61" s="873"/>
      <c r="F61" s="873"/>
      <c r="G61" s="873"/>
      <c r="H61" s="873"/>
      <c r="I61" s="873"/>
      <c r="O61" s="873"/>
    </row>
    <row r="62" spans="1:15" s="625" customFormat="1" x14ac:dyDescent="0.25">
      <c r="A62" s="1973" t="s">
        <v>2253</v>
      </c>
      <c r="B62" s="1974"/>
      <c r="C62" s="1974"/>
      <c r="D62" s="873"/>
      <c r="E62" s="873"/>
      <c r="F62" s="873"/>
      <c r="G62" s="873"/>
      <c r="H62" s="873"/>
      <c r="I62" s="873"/>
    </row>
    <row r="63" spans="1:15" s="625" customFormat="1" x14ac:dyDescent="0.25">
      <c r="A63" s="1973" t="s">
        <v>2254</v>
      </c>
      <c r="B63" s="1974"/>
      <c r="C63" s="1974"/>
      <c r="D63" s="873"/>
      <c r="E63" s="873"/>
      <c r="F63" s="873"/>
      <c r="G63" s="873"/>
      <c r="H63" s="873"/>
      <c r="I63" s="873"/>
    </row>
    <row r="64" spans="1:15" s="625" customFormat="1" x14ac:dyDescent="0.25">
      <c r="A64" s="1973" t="s">
        <v>462</v>
      </c>
      <c r="B64" s="1974"/>
      <c r="C64" s="1974"/>
      <c r="D64" s="873"/>
      <c r="E64" s="873"/>
      <c r="F64" s="873"/>
      <c r="G64" s="873"/>
      <c r="H64" s="873"/>
      <c r="I64" s="873"/>
    </row>
    <row r="65" spans="1:9" s="625" customFormat="1" x14ac:dyDescent="0.25">
      <c r="A65" s="1973" t="s">
        <v>2255</v>
      </c>
      <c r="B65" s="1974"/>
      <c r="C65" s="1974"/>
      <c r="D65" s="873"/>
      <c r="E65" s="873"/>
      <c r="F65" s="873"/>
      <c r="G65" s="873"/>
      <c r="H65" s="873"/>
      <c r="I65" s="873"/>
    </row>
    <row r="66" spans="1:9" s="625" customFormat="1" x14ac:dyDescent="0.25">
      <c r="A66" s="1973" t="s">
        <v>2256</v>
      </c>
      <c r="B66" s="1974"/>
      <c r="C66" s="1974"/>
      <c r="D66" s="873"/>
      <c r="E66" s="873"/>
      <c r="F66" s="873"/>
      <c r="G66" s="873"/>
      <c r="H66" s="873"/>
      <c r="I66" s="873"/>
    </row>
    <row r="67" spans="1:9" s="625" customFormat="1" x14ac:dyDescent="0.25">
      <c r="A67" s="1973" t="s">
        <v>2257</v>
      </c>
      <c r="B67" s="1974"/>
      <c r="C67" s="1974"/>
      <c r="D67" s="873"/>
      <c r="E67" s="873"/>
      <c r="F67" s="873"/>
      <c r="G67" s="873"/>
      <c r="H67" s="873"/>
      <c r="I67" s="873"/>
    </row>
    <row r="68" spans="1:9" s="625" customFormat="1" x14ac:dyDescent="0.25">
      <c r="A68" s="1973" t="s">
        <v>2258</v>
      </c>
      <c r="B68" s="1974"/>
      <c r="C68" s="1974"/>
      <c r="D68" s="873"/>
      <c r="E68" s="873"/>
      <c r="F68" s="873"/>
      <c r="G68" s="873"/>
      <c r="H68" s="873"/>
      <c r="I68" s="873"/>
    </row>
    <row r="69" spans="1:9" s="625" customFormat="1" x14ac:dyDescent="0.25">
      <c r="A69" s="1973" t="s">
        <v>2259</v>
      </c>
      <c r="B69" s="1974"/>
      <c r="C69" s="1974"/>
      <c r="D69" s="873"/>
      <c r="E69" s="873"/>
      <c r="F69" s="873"/>
      <c r="G69" s="873"/>
      <c r="H69" s="873"/>
      <c r="I69" s="873"/>
    </row>
    <row r="70" spans="1:9" s="625" customFormat="1" x14ac:dyDescent="0.25">
      <c r="A70" s="873"/>
      <c r="B70" s="1974"/>
      <c r="C70" s="1974"/>
      <c r="D70" s="873"/>
      <c r="E70" s="873"/>
      <c r="F70" s="873"/>
      <c r="G70" s="873"/>
      <c r="H70" s="873"/>
      <c r="I70" s="873"/>
    </row>
  </sheetData>
  <mergeCells count="4">
    <mergeCell ref="C2:C3"/>
    <mergeCell ref="F2:F3"/>
    <mergeCell ref="D2:D3"/>
    <mergeCell ref="G2:G3"/>
  </mergeCells>
  <phoneticPr fontId="4" type="noConversion"/>
  <dataValidations count="2">
    <dataValidation type="whole" allowBlank="1" showInputMessage="1" showErrorMessage="1" sqref="C14:C19 C22:C34 C39:C54 C5:C10">
      <formula1>-99999999999</formula1>
      <formula2>999999999999</formula2>
    </dataValidation>
    <dataValidation type="decimal" allowBlank="1" showInputMessage="1" showErrorMessage="1" sqref="D5:F10 D14:H19 D22:H34 D39:H54">
      <formula1>-99999999999999900000</formula1>
      <formula2>99999999999999900000</formula2>
    </dataValidation>
  </dataValidations>
  <pageMargins left="0.75" right="0.75" top="1" bottom="1" header="0.5" footer="0.5"/>
  <pageSetup scale="78"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enableFormatConditionsCalculation="0">
    <tabColor indexed="42"/>
    <pageSetUpPr fitToPage="1"/>
  </sheetPr>
  <dimension ref="A1:O51"/>
  <sheetViews>
    <sheetView showGridLines="0" tabSelected="1" workbookViewId="0">
      <pane ySplit="3" topLeftCell="A29" activePane="bottomLeft" state="frozen"/>
      <selection activeCell="I39" sqref="I39"/>
      <selection pane="bottomLeft" activeCell="I39" sqref="I39"/>
    </sheetView>
  </sheetViews>
  <sheetFormatPr defaultRowHeight="12.75" x14ac:dyDescent="0.25"/>
  <cols>
    <col min="1" max="1" width="37.7109375" style="148" customWidth="1"/>
    <col min="2" max="2" width="3" style="242" customWidth="1"/>
    <col min="3" max="11" width="8.7109375" style="148" customWidth="1"/>
    <col min="12" max="12" width="9.855468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46" t="str">
        <f>muni&amp;" - "&amp;TableA24</f>
        <v>NC071 Ubuntu - Supporting Table SA24 Summary of personnel numbers</v>
      </c>
      <c r="B1" s="146"/>
      <c r="C1" s="146"/>
      <c r="D1" s="146"/>
      <c r="E1" s="146"/>
      <c r="F1" s="146"/>
      <c r="G1" s="146"/>
      <c r="H1" s="146"/>
      <c r="I1" s="146"/>
      <c r="J1" s="146"/>
      <c r="K1" s="146"/>
    </row>
    <row r="2" spans="1:12" ht="28.5" customHeight="1" x14ac:dyDescent="0.25">
      <c r="A2" s="786" t="s">
        <v>683</v>
      </c>
      <c r="B2" s="379" t="str">
        <f>head27</f>
        <v>Ref</v>
      </c>
      <c r="C2" s="2756" t="str">
        <f>Head1</f>
        <v>2010/11</v>
      </c>
      <c r="D2" s="2757"/>
      <c r="E2" s="2758"/>
      <c r="F2" s="2700" t="str">
        <f>Head2</f>
        <v>Current Year 2011/12</v>
      </c>
      <c r="G2" s="2701"/>
      <c r="H2" s="2701"/>
      <c r="I2" s="2697" t="str">
        <f>Head9</f>
        <v>Budget Year 2012/13</v>
      </c>
      <c r="J2" s="2698"/>
      <c r="K2" s="2699"/>
      <c r="L2" s="338"/>
    </row>
    <row r="3" spans="1:12" ht="25.5" x14ac:dyDescent="0.25">
      <c r="A3" s="179" t="s">
        <v>1694</v>
      </c>
      <c r="B3" s="787" t="s">
        <v>1958</v>
      </c>
      <c r="C3" s="353" t="s">
        <v>448</v>
      </c>
      <c r="D3" s="799" t="s">
        <v>954</v>
      </c>
      <c r="E3" s="354" t="s">
        <v>449</v>
      </c>
      <c r="F3" s="353" t="s">
        <v>448</v>
      </c>
      <c r="G3" s="799" t="s">
        <v>954</v>
      </c>
      <c r="H3" s="354" t="s">
        <v>449</v>
      </c>
      <c r="I3" s="353" t="s">
        <v>448</v>
      </c>
      <c r="J3" s="799" t="s">
        <v>954</v>
      </c>
      <c r="K3" s="354" t="s">
        <v>449</v>
      </c>
      <c r="L3" s="338"/>
    </row>
    <row r="4" spans="1:12" x14ac:dyDescent="0.25">
      <c r="A4" s="566" t="s">
        <v>450</v>
      </c>
      <c r="B4" s="181"/>
      <c r="C4" s="665"/>
      <c r="D4" s="665"/>
      <c r="E4" s="674"/>
      <c r="F4" s="675"/>
      <c r="G4" s="665"/>
      <c r="H4" s="676"/>
      <c r="I4" s="672"/>
      <c r="J4" s="665"/>
      <c r="K4" s="674"/>
      <c r="L4" s="338"/>
    </row>
    <row r="5" spans="1:12" ht="11.25" customHeight="1" x14ac:dyDescent="0.25">
      <c r="A5" s="245" t="s">
        <v>915</v>
      </c>
      <c r="B5" s="181"/>
      <c r="C5" s="1348">
        <v>8</v>
      </c>
      <c r="D5" s="1348">
        <v>1</v>
      </c>
      <c r="E5" s="1349">
        <v>7</v>
      </c>
      <c r="F5" s="1347">
        <v>8</v>
      </c>
      <c r="G5" s="1348">
        <v>1</v>
      </c>
      <c r="H5" s="1445">
        <v>7</v>
      </c>
      <c r="I5" s="1350">
        <v>8</v>
      </c>
      <c r="J5" s="1348">
        <v>1</v>
      </c>
      <c r="K5" s="1349">
        <v>7</v>
      </c>
      <c r="L5" s="338"/>
    </row>
    <row r="6" spans="1:12" ht="11.25" customHeight="1" x14ac:dyDescent="0.25">
      <c r="A6" s="249" t="s">
        <v>1419</v>
      </c>
      <c r="B6" s="181">
        <v>4</v>
      </c>
      <c r="C6" s="1348"/>
      <c r="D6" s="1348"/>
      <c r="E6" s="1349"/>
      <c r="F6" s="1347"/>
      <c r="G6" s="1348"/>
      <c r="H6" s="1445"/>
      <c r="I6" s="1350"/>
      <c r="J6" s="1348"/>
      <c r="K6" s="1349"/>
      <c r="L6" s="338"/>
    </row>
    <row r="7" spans="1:12" ht="11.25" customHeight="1" x14ac:dyDescent="0.25">
      <c r="A7" s="566" t="s">
        <v>1420</v>
      </c>
      <c r="B7" s="181">
        <v>5</v>
      </c>
      <c r="C7" s="1348"/>
      <c r="D7" s="1348"/>
      <c r="E7" s="1349"/>
      <c r="F7" s="1347"/>
      <c r="G7" s="1348"/>
      <c r="H7" s="1445"/>
      <c r="I7" s="1350"/>
      <c r="J7" s="1348"/>
      <c r="K7" s="1349"/>
      <c r="L7" s="338"/>
    </row>
    <row r="8" spans="1:12" ht="11.25" customHeight="1" x14ac:dyDescent="0.25">
      <c r="A8" s="249" t="s">
        <v>1421</v>
      </c>
      <c r="B8" s="181">
        <v>3</v>
      </c>
      <c r="C8" s="1348">
        <v>4</v>
      </c>
      <c r="D8" s="1348">
        <v>0</v>
      </c>
      <c r="E8" s="1349">
        <v>4</v>
      </c>
      <c r="F8" s="1347">
        <v>4</v>
      </c>
      <c r="G8" s="1348">
        <v>0</v>
      </c>
      <c r="H8" s="1445">
        <v>4</v>
      </c>
      <c r="I8" s="1350">
        <v>4</v>
      </c>
      <c r="J8" s="1348">
        <v>0</v>
      </c>
      <c r="K8" s="1349">
        <v>4</v>
      </c>
      <c r="L8" s="338"/>
    </row>
    <row r="9" spans="1:12" ht="11.25" customHeight="1" x14ac:dyDescent="0.25">
      <c r="A9" s="249" t="s">
        <v>564</v>
      </c>
      <c r="B9" s="181">
        <v>7</v>
      </c>
      <c r="C9" s="1348">
        <v>2</v>
      </c>
      <c r="D9" s="1348">
        <v>0</v>
      </c>
      <c r="E9" s="1349">
        <v>2</v>
      </c>
      <c r="F9" s="1347">
        <v>3</v>
      </c>
      <c r="G9" s="1348">
        <v>0</v>
      </c>
      <c r="H9" s="1445">
        <v>3</v>
      </c>
      <c r="I9" s="1350">
        <v>3</v>
      </c>
      <c r="J9" s="1348">
        <v>0</v>
      </c>
      <c r="K9" s="1349">
        <v>3</v>
      </c>
      <c r="L9" s="338"/>
    </row>
    <row r="10" spans="1:12" ht="11.25" customHeight="1" x14ac:dyDescent="0.25">
      <c r="A10" s="249" t="s">
        <v>1422</v>
      </c>
      <c r="B10" s="181"/>
      <c r="C10" s="945">
        <f>SUM(C11:C19)</f>
        <v>0</v>
      </c>
      <c r="D10" s="945">
        <f t="shared" ref="D10:K10" si="0">SUM(D11:D19)</f>
        <v>0</v>
      </c>
      <c r="E10" s="946">
        <f t="shared" si="0"/>
        <v>0</v>
      </c>
      <c r="F10" s="947">
        <f t="shared" si="0"/>
        <v>0</v>
      </c>
      <c r="G10" s="945">
        <f t="shared" si="0"/>
        <v>0</v>
      </c>
      <c r="H10" s="948">
        <f t="shared" si="0"/>
        <v>0</v>
      </c>
      <c r="I10" s="949">
        <f t="shared" si="0"/>
        <v>0</v>
      </c>
      <c r="J10" s="945">
        <f t="shared" si="0"/>
        <v>0</v>
      </c>
      <c r="K10" s="946">
        <f t="shared" si="0"/>
        <v>0</v>
      </c>
      <c r="L10" s="338"/>
    </row>
    <row r="11" spans="1:12" ht="11.25" customHeight="1" x14ac:dyDescent="0.25">
      <c r="A11" s="1191" t="s">
        <v>1832</v>
      </c>
      <c r="B11" s="181"/>
      <c r="C11" s="1348"/>
      <c r="D11" s="1348"/>
      <c r="E11" s="1349"/>
      <c r="F11" s="1347"/>
      <c r="G11" s="1348"/>
      <c r="H11" s="1445"/>
      <c r="I11" s="1350"/>
      <c r="J11" s="1348"/>
      <c r="K11" s="1349"/>
      <c r="L11" s="338"/>
    </row>
    <row r="12" spans="1:12" ht="11.25" customHeight="1" x14ac:dyDescent="0.25">
      <c r="A12" s="1191" t="s">
        <v>1423</v>
      </c>
      <c r="B12" s="181"/>
      <c r="C12" s="1348"/>
      <c r="D12" s="1348"/>
      <c r="E12" s="1349"/>
      <c r="F12" s="1347"/>
      <c r="G12" s="1348"/>
      <c r="H12" s="1445"/>
      <c r="I12" s="1350"/>
      <c r="J12" s="1348"/>
      <c r="K12" s="1349"/>
      <c r="L12" s="338"/>
    </row>
    <row r="13" spans="1:12" ht="11.25" customHeight="1" x14ac:dyDescent="0.25">
      <c r="A13" s="1191" t="s">
        <v>338</v>
      </c>
      <c r="B13" s="181"/>
      <c r="C13" s="1348"/>
      <c r="D13" s="1348"/>
      <c r="E13" s="1349"/>
      <c r="F13" s="1347"/>
      <c r="G13" s="1348"/>
      <c r="H13" s="1445"/>
      <c r="I13" s="1350"/>
      <c r="J13" s="1348"/>
      <c r="K13" s="1349"/>
      <c r="L13" s="338"/>
    </row>
    <row r="14" spans="1:12" ht="11.25" customHeight="1" x14ac:dyDescent="0.25">
      <c r="A14" s="1191" t="s">
        <v>736</v>
      </c>
      <c r="B14" s="181"/>
      <c r="C14" s="1348"/>
      <c r="D14" s="1348"/>
      <c r="E14" s="1349"/>
      <c r="F14" s="1347"/>
      <c r="G14" s="1348"/>
      <c r="H14" s="1445"/>
      <c r="I14" s="1350"/>
      <c r="J14" s="1348"/>
      <c r="K14" s="1349"/>
      <c r="L14" s="338"/>
    </row>
    <row r="15" spans="1:12" ht="11.25" customHeight="1" x14ac:dyDescent="0.25">
      <c r="A15" s="1191" t="s">
        <v>654</v>
      </c>
      <c r="B15" s="181"/>
      <c r="C15" s="1348"/>
      <c r="D15" s="1348"/>
      <c r="E15" s="1349"/>
      <c r="F15" s="1347"/>
      <c r="G15" s="1348"/>
      <c r="H15" s="1445"/>
      <c r="I15" s="1350"/>
      <c r="J15" s="1348"/>
      <c r="K15" s="1349"/>
      <c r="L15" s="338"/>
    </row>
    <row r="16" spans="1:12" ht="11.25" customHeight="1" x14ac:dyDescent="0.25">
      <c r="A16" s="1191" t="s">
        <v>958</v>
      </c>
      <c r="B16" s="181"/>
      <c r="C16" s="1348"/>
      <c r="D16" s="1348"/>
      <c r="E16" s="1349"/>
      <c r="F16" s="1347"/>
      <c r="G16" s="1348"/>
      <c r="H16" s="1445"/>
      <c r="I16" s="1350"/>
      <c r="J16" s="1348"/>
      <c r="K16" s="1349"/>
      <c r="L16" s="338"/>
    </row>
    <row r="17" spans="1:12" ht="11.25" customHeight="1" x14ac:dyDescent="0.25">
      <c r="A17" s="1191" t="s">
        <v>959</v>
      </c>
      <c r="B17" s="181"/>
      <c r="C17" s="1348"/>
      <c r="D17" s="1348"/>
      <c r="E17" s="1349"/>
      <c r="F17" s="1347"/>
      <c r="G17" s="1348"/>
      <c r="H17" s="1445"/>
      <c r="I17" s="1350"/>
      <c r="J17" s="1348"/>
      <c r="K17" s="1349"/>
      <c r="L17" s="338"/>
    </row>
    <row r="18" spans="1:12" ht="11.25" customHeight="1" x14ac:dyDescent="0.25">
      <c r="A18" s="1191" t="s">
        <v>1295</v>
      </c>
      <c r="B18" s="181"/>
      <c r="C18" s="1348"/>
      <c r="D18" s="1348"/>
      <c r="E18" s="1349"/>
      <c r="F18" s="1347"/>
      <c r="G18" s="1348"/>
      <c r="H18" s="1445"/>
      <c r="I18" s="1350"/>
      <c r="J18" s="1348"/>
      <c r="K18" s="1349"/>
      <c r="L18" s="338"/>
    </row>
    <row r="19" spans="1:12" ht="11.25" customHeight="1" x14ac:dyDescent="0.25">
      <c r="A19" s="1191" t="s">
        <v>293</v>
      </c>
      <c r="B19" s="181"/>
      <c r="C19" s="1348"/>
      <c r="D19" s="1348"/>
      <c r="E19" s="1349"/>
      <c r="F19" s="1347"/>
      <c r="G19" s="1348"/>
      <c r="H19" s="1445"/>
      <c r="I19" s="1350"/>
      <c r="J19" s="1348"/>
      <c r="K19" s="1349"/>
      <c r="L19" s="338"/>
    </row>
    <row r="20" spans="1:12" ht="11.25" customHeight="1" x14ac:dyDescent="0.25">
      <c r="A20" s="249" t="s">
        <v>1424</v>
      </c>
      <c r="B20" s="181"/>
      <c r="C20" s="945">
        <f>SUM(C21:C29)</f>
        <v>161</v>
      </c>
      <c r="D20" s="945">
        <f t="shared" ref="D20:K20" si="1">SUM(D21:D29)</f>
        <v>145</v>
      </c>
      <c r="E20" s="946">
        <f t="shared" si="1"/>
        <v>6</v>
      </c>
      <c r="F20" s="947">
        <f t="shared" si="1"/>
        <v>161</v>
      </c>
      <c r="G20" s="945">
        <f t="shared" si="1"/>
        <v>109</v>
      </c>
      <c r="H20" s="948">
        <f t="shared" si="1"/>
        <v>6</v>
      </c>
      <c r="I20" s="949">
        <f t="shared" si="1"/>
        <v>161</v>
      </c>
      <c r="J20" s="945">
        <f t="shared" si="1"/>
        <v>155</v>
      </c>
      <c r="K20" s="946">
        <f t="shared" si="1"/>
        <v>6</v>
      </c>
      <c r="L20" s="338"/>
    </row>
    <row r="21" spans="1:12" ht="11.25" customHeight="1" x14ac:dyDescent="0.25">
      <c r="A21" s="1191" t="s">
        <v>1832</v>
      </c>
      <c r="B21" s="181"/>
      <c r="C21" s="1348">
        <v>17</v>
      </c>
      <c r="D21" s="1348">
        <v>11</v>
      </c>
      <c r="E21" s="1349">
        <v>6</v>
      </c>
      <c r="F21" s="1347">
        <v>17</v>
      </c>
      <c r="G21" s="1348">
        <v>11</v>
      </c>
      <c r="H21" s="1445">
        <v>6</v>
      </c>
      <c r="I21" s="1350">
        <v>17</v>
      </c>
      <c r="J21" s="1348">
        <v>11</v>
      </c>
      <c r="K21" s="1349">
        <v>6</v>
      </c>
      <c r="L21" s="338"/>
    </row>
    <row r="22" spans="1:12" ht="11.25" customHeight="1" x14ac:dyDescent="0.25">
      <c r="A22" s="1191" t="s">
        <v>1423</v>
      </c>
      <c r="B22" s="181"/>
      <c r="C22" s="1348">
        <v>39</v>
      </c>
      <c r="D22" s="1348">
        <v>29</v>
      </c>
      <c r="E22" s="1349">
        <v>0</v>
      </c>
      <c r="F22" s="1347">
        <v>39</v>
      </c>
      <c r="G22" s="1348">
        <v>26</v>
      </c>
      <c r="H22" s="1445">
        <v>0</v>
      </c>
      <c r="I22" s="1350">
        <v>39</v>
      </c>
      <c r="J22" s="1348">
        <v>39</v>
      </c>
      <c r="K22" s="1349">
        <v>0</v>
      </c>
      <c r="L22" s="338"/>
    </row>
    <row r="23" spans="1:12" ht="11.25" customHeight="1" x14ac:dyDescent="0.25">
      <c r="A23" s="1191" t="s">
        <v>338</v>
      </c>
      <c r="B23" s="181"/>
      <c r="C23" s="1348">
        <v>0</v>
      </c>
      <c r="D23" s="1348">
        <v>0</v>
      </c>
      <c r="E23" s="1349">
        <v>0</v>
      </c>
      <c r="F23" s="1347">
        <v>0</v>
      </c>
      <c r="G23" s="1348">
        <v>0</v>
      </c>
      <c r="H23" s="1445">
        <v>0</v>
      </c>
      <c r="I23" s="1350">
        <v>0</v>
      </c>
      <c r="J23" s="1348">
        <v>0</v>
      </c>
      <c r="K23" s="1349">
        <v>0</v>
      </c>
      <c r="L23" s="338"/>
    </row>
    <row r="24" spans="1:12" ht="11.25" customHeight="1" x14ac:dyDescent="0.25">
      <c r="A24" s="1191" t="s">
        <v>736</v>
      </c>
      <c r="B24" s="181"/>
      <c r="C24" s="1348">
        <v>15</v>
      </c>
      <c r="D24" s="1348">
        <v>15</v>
      </c>
      <c r="E24" s="1349">
        <v>0</v>
      </c>
      <c r="F24" s="1347">
        <v>15</v>
      </c>
      <c r="G24" s="1348">
        <v>9</v>
      </c>
      <c r="H24" s="1445">
        <v>0</v>
      </c>
      <c r="I24" s="1350">
        <v>15</v>
      </c>
      <c r="J24" s="1348">
        <v>15</v>
      </c>
      <c r="K24" s="1349">
        <v>0</v>
      </c>
      <c r="L24" s="338"/>
    </row>
    <row r="25" spans="1:12" ht="11.25" customHeight="1" x14ac:dyDescent="0.25">
      <c r="A25" s="1191" t="s">
        <v>654</v>
      </c>
      <c r="B25" s="181"/>
      <c r="C25" s="1348">
        <v>9</v>
      </c>
      <c r="D25" s="1348">
        <v>9</v>
      </c>
      <c r="E25" s="1349">
        <v>0</v>
      </c>
      <c r="F25" s="1347">
        <v>9</v>
      </c>
      <c r="G25" s="1348">
        <v>7</v>
      </c>
      <c r="H25" s="1445">
        <v>0</v>
      </c>
      <c r="I25" s="1350">
        <v>9</v>
      </c>
      <c r="J25" s="1348">
        <v>9</v>
      </c>
      <c r="K25" s="1349">
        <v>0</v>
      </c>
      <c r="L25" s="338"/>
    </row>
    <row r="26" spans="1:12" ht="11.25" customHeight="1" x14ac:dyDescent="0.25">
      <c r="A26" s="1191" t="s">
        <v>958</v>
      </c>
      <c r="B26" s="181"/>
      <c r="C26" s="1348">
        <v>7</v>
      </c>
      <c r="D26" s="1348">
        <v>7</v>
      </c>
      <c r="E26" s="1349">
        <v>0</v>
      </c>
      <c r="F26" s="1347">
        <v>7</v>
      </c>
      <c r="G26" s="1348">
        <v>7</v>
      </c>
      <c r="H26" s="1445">
        <v>0</v>
      </c>
      <c r="I26" s="1350">
        <v>7</v>
      </c>
      <c r="J26" s="1348">
        <v>7</v>
      </c>
      <c r="K26" s="1349">
        <v>0</v>
      </c>
      <c r="L26" s="338"/>
    </row>
    <row r="27" spans="1:12" ht="11.25" customHeight="1" x14ac:dyDescent="0.25">
      <c r="A27" s="1191" t="s">
        <v>959</v>
      </c>
      <c r="B27" s="181"/>
      <c r="C27" s="1348">
        <v>21</v>
      </c>
      <c r="D27" s="1348">
        <v>21</v>
      </c>
      <c r="E27" s="1349">
        <v>0</v>
      </c>
      <c r="F27" s="1347">
        <v>21</v>
      </c>
      <c r="G27" s="1348">
        <v>12</v>
      </c>
      <c r="H27" s="1445">
        <v>0</v>
      </c>
      <c r="I27" s="1350">
        <v>21</v>
      </c>
      <c r="J27" s="1348">
        <v>21</v>
      </c>
      <c r="K27" s="1349">
        <v>0</v>
      </c>
      <c r="L27" s="338"/>
    </row>
    <row r="28" spans="1:12" ht="11.25" customHeight="1" x14ac:dyDescent="0.25">
      <c r="A28" s="1191" t="s">
        <v>1295</v>
      </c>
      <c r="B28" s="181"/>
      <c r="C28" s="1348">
        <v>35</v>
      </c>
      <c r="D28" s="1348">
        <v>35</v>
      </c>
      <c r="E28" s="1349">
        <v>0</v>
      </c>
      <c r="F28" s="1347">
        <v>35</v>
      </c>
      <c r="G28" s="1348">
        <v>19</v>
      </c>
      <c r="H28" s="1445">
        <v>0</v>
      </c>
      <c r="I28" s="1350">
        <v>35</v>
      </c>
      <c r="J28" s="1348">
        <v>35</v>
      </c>
      <c r="K28" s="1349">
        <v>0</v>
      </c>
      <c r="L28" s="338"/>
    </row>
    <row r="29" spans="1:12" ht="11.25" customHeight="1" x14ac:dyDescent="0.25">
      <c r="A29" s="1191" t="s">
        <v>293</v>
      </c>
      <c r="B29" s="181"/>
      <c r="C29" s="1348">
        <v>18</v>
      </c>
      <c r="D29" s="1348">
        <v>18</v>
      </c>
      <c r="E29" s="1349">
        <v>0</v>
      </c>
      <c r="F29" s="1347">
        <v>18</v>
      </c>
      <c r="G29" s="1348">
        <v>18</v>
      </c>
      <c r="H29" s="1445">
        <v>0</v>
      </c>
      <c r="I29" s="1350">
        <v>18</v>
      </c>
      <c r="J29" s="1348">
        <v>18</v>
      </c>
      <c r="K29" s="1349">
        <v>0</v>
      </c>
      <c r="L29" s="338"/>
    </row>
    <row r="30" spans="1:12" ht="11.25" customHeight="1" x14ac:dyDescent="0.25">
      <c r="A30" s="249" t="s">
        <v>1425</v>
      </c>
      <c r="B30" s="181"/>
      <c r="C30" s="1348"/>
      <c r="D30" s="1348"/>
      <c r="E30" s="1349"/>
      <c r="F30" s="1347"/>
      <c r="G30" s="1348"/>
      <c r="H30" s="1445"/>
      <c r="I30" s="1350"/>
      <c r="J30" s="1348"/>
      <c r="K30" s="1349"/>
      <c r="L30" s="338"/>
    </row>
    <row r="31" spans="1:12" ht="11.25" customHeight="1" x14ac:dyDescent="0.25">
      <c r="A31" s="249" t="s">
        <v>1426</v>
      </c>
      <c r="B31" s="181"/>
      <c r="C31" s="1348"/>
      <c r="D31" s="1348"/>
      <c r="E31" s="1349"/>
      <c r="F31" s="1347"/>
      <c r="G31" s="1348"/>
      <c r="H31" s="1445"/>
      <c r="I31" s="1350"/>
      <c r="J31" s="1348"/>
      <c r="K31" s="1349"/>
      <c r="L31" s="338"/>
    </row>
    <row r="32" spans="1:12" ht="11.25" customHeight="1" x14ac:dyDescent="0.25">
      <c r="A32" s="249" t="s">
        <v>814</v>
      </c>
      <c r="B32" s="181"/>
      <c r="C32" s="1348"/>
      <c r="D32" s="1348"/>
      <c r="E32" s="1349"/>
      <c r="F32" s="1347"/>
      <c r="G32" s="1348"/>
      <c r="H32" s="1445"/>
      <c r="I32" s="1350"/>
      <c r="J32" s="1348"/>
      <c r="K32" s="1349"/>
      <c r="L32" s="338"/>
    </row>
    <row r="33" spans="1:15" ht="11.25" customHeight="1" x14ac:dyDescent="0.25">
      <c r="A33" s="249" t="s">
        <v>1427</v>
      </c>
      <c r="B33" s="181"/>
      <c r="C33" s="1348"/>
      <c r="D33" s="1348"/>
      <c r="E33" s="1349"/>
      <c r="F33" s="1347"/>
      <c r="G33" s="1348"/>
      <c r="H33" s="1445"/>
      <c r="I33" s="1350"/>
      <c r="J33" s="1348"/>
      <c r="K33" s="1349"/>
      <c r="L33" s="338"/>
    </row>
    <row r="34" spans="1:15" ht="11.25" customHeight="1" x14ac:dyDescent="0.25">
      <c r="A34" s="249" t="s">
        <v>1428</v>
      </c>
      <c r="B34" s="181"/>
      <c r="C34" s="1348"/>
      <c r="D34" s="1348"/>
      <c r="E34" s="1349"/>
      <c r="F34" s="1347"/>
      <c r="G34" s="1348"/>
      <c r="H34" s="1445"/>
      <c r="I34" s="1350"/>
      <c r="J34" s="1348"/>
      <c r="K34" s="1349"/>
      <c r="L34" s="338"/>
    </row>
    <row r="35" spans="1:15" ht="11.25" customHeight="1" x14ac:dyDescent="0.25">
      <c r="A35" s="249" t="s">
        <v>1429</v>
      </c>
      <c r="B35" s="181"/>
      <c r="C35" s="1348"/>
      <c r="D35" s="1348"/>
      <c r="E35" s="1349"/>
      <c r="F35" s="1347"/>
      <c r="G35" s="1348"/>
      <c r="H35" s="1445"/>
      <c r="I35" s="1350"/>
      <c r="J35" s="1348"/>
      <c r="K35" s="1349"/>
      <c r="L35" s="338"/>
    </row>
    <row r="36" spans="1:15" ht="11.25" customHeight="1" x14ac:dyDescent="0.25">
      <c r="A36" s="659" t="s">
        <v>681</v>
      </c>
      <c r="B36" s="181"/>
      <c r="C36" s="678">
        <f>SUM(C5:C9)+SUM(C11:C19)+SUM(C21:C35)</f>
        <v>175</v>
      </c>
      <c r="D36" s="678">
        <f t="shared" ref="D36:K36" si="2">SUM(D5:D9)+SUM(D11:D19)+SUM(D21:D35)</f>
        <v>146</v>
      </c>
      <c r="E36" s="1038">
        <f t="shared" si="2"/>
        <v>19</v>
      </c>
      <c r="F36" s="1039">
        <f t="shared" si="2"/>
        <v>176</v>
      </c>
      <c r="G36" s="678">
        <f t="shared" si="2"/>
        <v>110</v>
      </c>
      <c r="H36" s="679">
        <f>SUM(H5:H9)+SUM(H11:H19)+SUM(H21:H35)</f>
        <v>20</v>
      </c>
      <c r="I36" s="1040">
        <f t="shared" si="2"/>
        <v>176</v>
      </c>
      <c r="J36" s="678">
        <f t="shared" si="2"/>
        <v>156</v>
      </c>
      <c r="K36" s="679">
        <f t="shared" si="2"/>
        <v>20</v>
      </c>
      <c r="L36" s="338"/>
    </row>
    <row r="37" spans="1:15" ht="11.25" customHeight="1" x14ac:dyDescent="0.25">
      <c r="A37" s="780" t="s">
        <v>930</v>
      </c>
      <c r="B37" s="181"/>
      <c r="C37" s="677"/>
      <c r="D37" s="1041"/>
      <c r="E37" s="1042"/>
      <c r="F37" s="1043">
        <f t="shared" ref="F37:K37" si="3">IF(ISERROR((F36/C36)-1),0,((F36/C36)-1))</f>
        <v>5.7142857142857828E-3</v>
      </c>
      <c r="G37" s="1044">
        <f t="shared" si="3"/>
        <v>-0.24657534246575341</v>
      </c>
      <c r="H37" s="1045">
        <f t="shared" si="3"/>
        <v>5.2631578947368363E-2</v>
      </c>
      <c r="I37" s="1046">
        <f t="shared" si="3"/>
        <v>0</v>
      </c>
      <c r="J37" s="1044">
        <f t="shared" si="3"/>
        <v>0.41818181818181821</v>
      </c>
      <c r="K37" s="1047">
        <f t="shared" si="3"/>
        <v>0</v>
      </c>
      <c r="L37" s="338"/>
      <c r="O37" s="338"/>
    </row>
    <row r="38" spans="1:15" ht="3.75" customHeight="1" x14ac:dyDescent="0.25">
      <c r="A38" s="780"/>
      <c r="B38" s="181"/>
      <c r="C38" s="677"/>
      <c r="D38" s="1044"/>
      <c r="E38" s="1047"/>
      <c r="F38" s="1043"/>
      <c r="G38" s="1044"/>
      <c r="H38" s="1045"/>
      <c r="I38" s="1046"/>
      <c r="J38" s="1044"/>
      <c r="K38" s="1047"/>
      <c r="L38" s="338"/>
    </row>
    <row r="39" spans="1:15" ht="11.25" customHeight="1" x14ac:dyDescent="0.25">
      <c r="A39" s="566" t="s">
        <v>1430</v>
      </c>
      <c r="B39" s="181">
        <v>6</v>
      </c>
      <c r="C39" s="1463"/>
      <c r="D39" s="1464"/>
      <c r="E39" s="1465"/>
      <c r="F39" s="1466"/>
      <c r="G39" s="1467"/>
      <c r="H39" s="1468"/>
      <c r="I39" s="1469"/>
      <c r="J39" s="1467"/>
      <c r="K39" s="1470"/>
      <c r="L39" s="338"/>
    </row>
    <row r="40" spans="1:15" ht="11.25" customHeight="1" x14ac:dyDescent="0.25">
      <c r="A40" s="245" t="s">
        <v>1431</v>
      </c>
      <c r="B40" s="181">
        <v>8</v>
      </c>
      <c r="C40" s="1463"/>
      <c r="D40" s="1464"/>
      <c r="E40" s="1465"/>
      <c r="F40" s="1466"/>
      <c r="G40" s="1467"/>
      <c r="H40" s="1468"/>
      <c r="I40" s="1469"/>
      <c r="J40" s="1467"/>
      <c r="K40" s="1470"/>
      <c r="L40" s="338"/>
    </row>
    <row r="41" spans="1:15" ht="11.25" customHeight="1" x14ac:dyDescent="0.25">
      <c r="A41" s="1048" t="s">
        <v>1432</v>
      </c>
      <c r="B41" s="350">
        <v>8</v>
      </c>
      <c r="C41" s="1471"/>
      <c r="D41" s="1472"/>
      <c r="E41" s="1473"/>
      <c r="F41" s="1474"/>
      <c r="G41" s="1475"/>
      <c r="H41" s="1476"/>
      <c r="I41" s="1477"/>
      <c r="J41" s="1475"/>
      <c r="K41" s="1478"/>
      <c r="L41" s="338"/>
    </row>
    <row r="42" spans="1:15" ht="11.25" customHeight="1" x14ac:dyDescent="0.25">
      <c r="A42" s="569"/>
      <c r="B42" s="232"/>
      <c r="C42" s="290"/>
      <c r="D42" s="290"/>
      <c r="E42" s="290"/>
      <c r="F42" s="290"/>
      <c r="G42" s="290"/>
      <c r="H42" s="290"/>
      <c r="I42" s="290"/>
      <c r="J42" s="290"/>
      <c r="K42" s="290"/>
      <c r="L42" s="338"/>
    </row>
    <row r="43" spans="1:15" ht="11.25" customHeight="1" x14ac:dyDescent="0.25">
      <c r="A43" s="1009" t="str">
        <f>head27a</f>
        <v>References</v>
      </c>
      <c r="B43" s="837"/>
      <c r="C43" s="867"/>
      <c r="D43" s="867"/>
      <c r="E43" s="867"/>
      <c r="F43" s="867"/>
      <c r="G43" s="867"/>
      <c r="H43" s="867"/>
      <c r="I43" s="867"/>
      <c r="J43" s="867"/>
      <c r="K43" s="867"/>
      <c r="L43" s="338"/>
    </row>
    <row r="44" spans="1:15" ht="11.25" customHeight="1" x14ac:dyDescent="0.25">
      <c r="A44" s="1596" t="s">
        <v>1959</v>
      </c>
      <c r="B44" s="837"/>
      <c r="C44" s="867"/>
      <c r="D44" s="867"/>
      <c r="E44" s="867"/>
      <c r="F44" s="867"/>
      <c r="G44" s="867"/>
      <c r="H44" s="867"/>
      <c r="I44" s="867"/>
      <c r="J44" s="867"/>
      <c r="K44" s="867"/>
      <c r="L44" s="338"/>
    </row>
    <row r="45" spans="1:15" ht="11.25" customHeight="1" x14ac:dyDescent="0.25">
      <c r="A45" s="1139" t="s">
        <v>1960</v>
      </c>
      <c r="B45" s="845"/>
      <c r="C45" s="625"/>
      <c r="D45" s="625"/>
      <c r="E45" s="625"/>
      <c r="F45" s="625"/>
      <c r="G45" s="625"/>
      <c r="H45" s="625"/>
      <c r="I45" s="625"/>
      <c r="J45" s="625"/>
      <c r="K45" s="625"/>
    </row>
    <row r="46" spans="1:15" ht="11.25" customHeight="1" x14ac:dyDescent="0.25">
      <c r="A46" s="1139" t="s">
        <v>1961</v>
      </c>
      <c r="B46" s="845"/>
      <c r="C46" s="625"/>
      <c r="D46" s="625"/>
      <c r="E46" s="625"/>
      <c r="F46" s="625"/>
      <c r="G46" s="625"/>
      <c r="H46" s="625"/>
      <c r="I46" s="625"/>
      <c r="J46" s="625"/>
      <c r="K46" s="625"/>
    </row>
    <row r="47" spans="1:15" ht="11.25" customHeight="1" x14ac:dyDescent="0.25">
      <c r="A47" s="1139" t="s">
        <v>1962</v>
      </c>
      <c r="B47" s="845"/>
      <c r="C47" s="625"/>
      <c r="D47" s="625"/>
      <c r="E47" s="625"/>
      <c r="F47" s="625"/>
      <c r="G47" s="625"/>
      <c r="H47" s="625"/>
      <c r="I47" s="625"/>
      <c r="J47" s="625"/>
      <c r="K47" s="625"/>
    </row>
    <row r="48" spans="1:15" ht="11.25" customHeight="1" x14ac:dyDescent="0.25">
      <c r="A48" s="1139" t="s">
        <v>1963</v>
      </c>
      <c r="B48" s="845"/>
      <c r="C48" s="625"/>
      <c r="D48" s="625"/>
      <c r="E48" s="625"/>
      <c r="F48" s="625"/>
      <c r="G48" s="625"/>
      <c r="H48" s="625"/>
      <c r="I48" s="625"/>
      <c r="J48" s="625"/>
      <c r="K48" s="625"/>
    </row>
    <row r="49" spans="1:11" ht="11.25" customHeight="1" x14ac:dyDescent="0.25">
      <c r="A49" s="1139" t="s">
        <v>1964</v>
      </c>
      <c r="B49" s="845"/>
      <c r="C49" s="625"/>
      <c r="D49" s="625"/>
      <c r="E49" s="625"/>
      <c r="F49" s="625"/>
      <c r="G49" s="625"/>
      <c r="H49" s="625"/>
      <c r="I49" s="625"/>
      <c r="J49" s="625"/>
      <c r="K49" s="625"/>
    </row>
    <row r="50" spans="1:11" ht="11.25" customHeight="1" x14ac:dyDescent="0.25">
      <c r="A50" s="1139" t="s">
        <v>1965</v>
      </c>
      <c r="B50" s="845"/>
      <c r="C50" s="625"/>
      <c r="D50" s="625"/>
      <c r="E50" s="625"/>
      <c r="F50" s="625"/>
      <c r="G50" s="625"/>
      <c r="H50" s="625"/>
      <c r="I50" s="625"/>
      <c r="J50" s="625"/>
      <c r="K50" s="625"/>
    </row>
    <row r="51" spans="1:11" ht="11.25" customHeight="1" x14ac:dyDescent="0.25">
      <c r="A51" s="1139" t="s">
        <v>1966</v>
      </c>
      <c r="B51" s="845"/>
      <c r="C51" s="625"/>
      <c r="D51" s="625"/>
      <c r="E51" s="625"/>
      <c r="F51" s="625"/>
      <c r="G51" s="625"/>
      <c r="H51" s="625"/>
      <c r="I51" s="625"/>
      <c r="J51" s="625"/>
      <c r="K51" s="625"/>
    </row>
  </sheetData>
  <sheetProtection password="C646" sheet="1" objects="1" scenarios="1"/>
  <mergeCells count="3">
    <mergeCell ref="F2:H2"/>
    <mergeCell ref="I2:K2"/>
    <mergeCell ref="C2:E2"/>
  </mergeCells>
  <phoneticPr fontId="4" type="noConversion"/>
  <dataValidations count="1">
    <dataValidation type="decimal" allowBlank="1" showInputMessage="1" showErrorMessage="1" sqref="C5:K9 C11:K19 C21:K35 C39:K41">
      <formula1>-99999999999999900000</formula1>
      <formula2>9999999999999990000</formula2>
    </dataValidation>
  </dataValidations>
  <pageMargins left="0.75" right="0.75" top="1" bottom="1" header="0.5" footer="0.5"/>
  <pageSetup scale="76"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enableFormatConditionsCalculation="0">
    <tabColor indexed="42"/>
    <pageSetUpPr fitToPage="1"/>
  </sheetPr>
  <dimension ref="A1:Q49"/>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148" customWidth="1"/>
    <col min="3" max="14" width="8.28515625" style="338" customWidth="1"/>
    <col min="15" max="17" width="9.28515625" style="338" customWidth="1"/>
    <col min="18" max="16384" width="9.140625" style="148"/>
  </cols>
  <sheetData>
    <row r="1" spans="1:17" ht="13.5" customHeight="1" x14ac:dyDescent="0.25">
      <c r="A1" s="146" t="s">
        <v>2547</v>
      </c>
      <c r="B1" s="146"/>
      <c r="C1" s="1997"/>
      <c r="D1" s="1997"/>
      <c r="E1" s="1997"/>
      <c r="F1" s="1997"/>
      <c r="G1" s="1997"/>
      <c r="H1" s="1997"/>
      <c r="I1" s="1997"/>
      <c r="J1" s="1997"/>
      <c r="K1" s="1997"/>
      <c r="L1" s="1997"/>
      <c r="M1" s="1997"/>
      <c r="N1" s="1997"/>
      <c r="O1" s="1997"/>
      <c r="P1" s="1997"/>
      <c r="Q1" s="1997"/>
    </row>
    <row r="2" spans="1:17" ht="28.5"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7" ht="25.5" x14ac:dyDescent="0.25">
      <c r="A3" s="793" t="s">
        <v>667</v>
      </c>
      <c r="B3" s="798"/>
      <c r="C3" s="2004" t="s">
        <v>725</v>
      </c>
      <c r="D3" s="741" t="s">
        <v>1416</v>
      </c>
      <c r="E3" s="741" t="s">
        <v>1417</v>
      </c>
      <c r="F3" s="741" t="s">
        <v>1418</v>
      </c>
      <c r="G3" s="741" t="s">
        <v>706</v>
      </c>
      <c r="H3" s="741" t="s">
        <v>707</v>
      </c>
      <c r="I3" s="741" t="s">
        <v>708</v>
      </c>
      <c r="J3" s="741" t="s">
        <v>709</v>
      </c>
      <c r="K3" s="741" t="s">
        <v>710</v>
      </c>
      <c r="L3" s="741" t="s">
        <v>711</v>
      </c>
      <c r="M3" s="741" t="s">
        <v>712</v>
      </c>
      <c r="N3" s="354" t="s">
        <v>713</v>
      </c>
      <c r="O3" s="2004" t="s">
        <v>2483</v>
      </c>
      <c r="P3" s="2009" t="s">
        <v>2484</v>
      </c>
      <c r="Q3" s="354" t="s">
        <v>2485</v>
      </c>
    </row>
    <row r="4" spans="1:17" x14ac:dyDescent="0.25">
      <c r="A4" s="680" t="s">
        <v>669</v>
      </c>
      <c r="B4" s="681"/>
      <c r="C4" s="773"/>
      <c r="D4" s="749"/>
      <c r="E4" s="749"/>
      <c r="F4" s="749"/>
      <c r="G4" s="749"/>
      <c r="H4" s="749"/>
      <c r="I4" s="749"/>
      <c r="J4" s="749"/>
      <c r="K4" s="749"/>
      <c r="L4" s="749"/>
      <c r="M4" s="749"/>
      <c r="N4" s="2128"/>
      <c r="O4" s="773"/>
      <c r="P4" s="749"/>
      <c r="Q4" s="774"/>
    </row>
    <row r="5" spans="1:17" ht="11.25" customHeight="1" x14ac:dyDescent="0.25">
      <c r="A5" s="245" t="s">
        <v>543</v>
      </c>
      <c r="B5" s="682"/>
      <c r="C5" s="1066">
        <v>4557626.2915757736</v>
      </c>
      <c r="D5" s="1030">
        <v>0</v>
      </c>
      <c r="E5" s="1030">
        <v>141565.46862476063</v>
      </c>
      <c r="F5" s="1030">
        <v>141565.46862476063</v>
      </c>
      <c r="G5" s="1030">
        <v>-125335.40607769963</v>
      </c>
      <c r="H5" s="1030">
        <v>0</v>
      </c>
      <c r="I5" s="1030">
        <v>-2042.812675582577</v>
      </c>
      <c r="J5" s="1030">
        <v>-43979.131576601394</v>
      </c>
      <c r="K5" s="1030">
        <v>-2659.0654668993279</v>
      </c>
      <c r="L5" s="1030">
        <v>-6329.0929996172245</v>
      </c>
      <c r="M5" s="1030">
        <v>767847.25995054422</v>
      </c>
      <c r="N5" s="475">
        <v>767847.25995054469</v>
      </c>
      <c r="O5" s="246">
        <v>6196106.2399299834</v>
      </c>
      <c r="P5" s="205">
        <v>6567872.6143257823</v>
      </c>
      <c r="Q5" s="256">
        <v>6961944.9711853284</v>
      </c>
    </row>
    <row r="6" spans="1:17" ht="11.25" customHeight="1" x14ac:dyDescent="0.25">
      <c r="A6" s="245" t="s">
        <v>1617</v>
      </c>
      <c r="B6" s="682"/>
      <c r="C6" s="1066">
        <v>0</v>
      </c>
      <c r="D6" s="1030">
        <v>0</v>
      </c>
      <c r="E6" s="1030">
        <v>0</v>
      </c>
      <c r="F6" s="1030">
        <v>0</v>
      </c>
      <c r="G6" s="1030">
        <v>0</v>
      </c>
      <c r="H6" s="1030">
        <v>0</v>
      </c>
      <c r="I6" s="1030">
        <v>0</v>
      </c>
      <c r="J6" s="1030">
        <v>0</v>
      </c>
      <c r="K6" s="1030">
        <v>0</v>
      </c>
      <c r="L6" s="1030">
        <v>0</v>
      </c>
      <c r="M6" s="1030">
        <v>0</v>
      </c>
      <c r="N6" s="475">
        <v>0</v>
      </c>
      <c r="O6" s="246">
        <v>0</v>
      </c>
      <c r="P6" s="205">
        <v>0</v>
      </c>
      <c r="Q6" s="256">
        <v>0</v>
      </c>
    </row>
    <row r="7" spans="1:17" ht="11.25" customHeight="1" x14ac:dyDescent="0.25">
      <c r="A7" s="245" t="s">
        <v>1809</v>
      </c>
      <c r="B7" s="682"/>
      <c r="C7" s="1066">
        <v>983610.11261507543</v>
      </c>
      <c r="D7" s="1030">
        <v>105569.93357600927</v>
      </c>
      <c r="E7" s="1030">
        <v>1589292.0802754071</v>
      </c>
      <c r="F7" s="1030">
        <v>1589292.0802754066</v>
      </c>
      <c r="G7" s="1030">
        <v>945054.88907895563</v>
      </c>
      <c r="H7" s="1030">
        <v>18753.802371518952</v>
      </c>
      <c r="I7" s="1030">
        <v>2233151.7399271582</v>
      </c>
      <c r="J7" s="1030">
        <v>1026936.5457090025</v>
      </c>
      <c r="K7" s="1030">
        <v>1014155.2504008223</v>
      </c>
      <c r="L7" s="1030">
        <v>1187666.4623237683</v>
      </c>
      <c r="M7" s="1030">
        <v>-257839.47193656198</v>
      </c>
      <c r="N7" s="475">
        <v>-257839.47193656303</v>
      </c>
      <c r="O7" s="246">
        <v>10177803.952679999</v>
      </c>
      <c r="P7" s="205">
        <v>10788472.189840801</v>
      </c>
      <c r="Q7" s="256">
        <v>11435780.51723125</v>
      </c>
    </row>
    <row r="8" spans="1:17" ht="11.25" customHeight="1" x14ac:dyDescent="0.25">
      <c r="A8" s="245" t="s">
        <v>1810</v>
      </c>
      <c r="B8" s="682"/>
      <c r="C8" s="1066">
        <v>335505.51945031044</v>
      </c>
      <c r="D8" s="1030">
        <v>2916.6666666666665</v>
      </c>
      <c r="E8" s="1030">
        <v>520205.28610800079</v>
      </c>
      <c r="F8" s="1030">
        <v>520205.28610800067</v>
      </c>
      <c r="G8" s="1030">
        <v>426959.14165495185</v>
      </c>
      <c r="H8" s="1030">
        <v>2916.6666666666665</v>
      </c>
      <c r="I8" s="1030">
        <v>1565234.287802316</v>
      </c>
      <c r="J8" s="1030">
        <v>444326.09980305465</v>
      </c>
      <c r="K8" s="1030">
        <v>486161.4293205975</v>
      </c>
      <c r="L8" s="1030">
        <v>410222.86039989308</v>
      </c>
      <c r="M8" s="1030">
        <v>-641615.121990229</v>
      </c>
      <c r="N8" s="475">
        <v>-641615.12199022993</v>
      </c>
      <c r="O8" s="246">
        <v>3431423</v>
      </c>
      <c r="P8" s="205">
        <v>3637308.38</v>
      </c>
      <c r="Q8" s="256">
        <v>3855546.8827999998</v>
      </c>
    </row>
    <row r="9" spans="1:17" ht="11.25" customHeight="1" x14ac:dyDescent="0.25">
      <c r="A9" s="245" t="s">
        <v>936</v>
      </c>
      <c r="B9" s="682"/>
      <c r="C9" s="1066">
        <v>613458.83916393702</v>
      </c>
      <c r="D9" s="1030">
        <v>13.012270274069984</v>
      </c>
      <c r="E9" s="1030">
        <v>923658.95811340096</v>
      </c>
      <c r="F9" s="1030">
        <v>923658.95811340108</v>
      </c>
      <c r="G9" s="1030">
        <v>609130.57483281777</v>
      </c>
      <c r="H9" s="1030">
        <v>52.049081096280929</v>
      </c>
      <c r="I9" s="1030">
        <v>1215207.9577882339</v>
      </c>
      <c r="J9" s="1030">
        <v>600471.30487645359</v>
      </c>
      <c r="K9" s="1030">
        <v>657451.83820478315</v>
      </c>
      <c r="L9" s="1030">
        <v>608706.70687769132</v>
      </c>
      <c r="M9" s="1030">
        <v>-817522.38758104469</v>
      </c>
      <c r="N9" s="475">
        <v>-817522.38758104481</v>
      </c>
      <c r="O9" s="246">
        <v>4516765.4241599999</v>
      </c>
      <c r="P9" s="205">
        <v>4787771.3496096004</v>
      </c>
      <c r="Q9" s="256">
        <v>5075037.6285861796</v>
      </c>
    </row>
    <row r="10" spans="1:17" ht="11.25" customHeight="1" x14ac:dyDescent="0.25">
      <c r="A10" s="245" t="s">
        <v>1047</v>
      </c>
      <c r="B10" s="682"/>
      <c r="C10" s="1066">
        <v>290868.37869132438</v>
      </c>
      <c r="D10" s="1030">
        <v>0</v>
      </c>
      <c r="E10" s="1030">
        <v>445026.53807193559</v>
      </c>
      <c r="F10" s="1030">
        <v>445026.53807193576</v>
      </c>
      <c r="G10" s="1030">
        <v>296301.15579151246</v>
      </c>
      <c r="H10" s="1030">
        <v>0</v>
      </c>
      <c r="I10" s="1030">
        <v>561257.81263800047</v>
      </c>
      <c r="J10" s="1030">
        <v>222781.66971640583</v>
      </c>
      <c r="K10" s="1030">
        <v>623957.10178319656</v>
      </c>
      <c r="L10" s="1030">
        <v>283684.01168111473</v>
      </c>
      <c r="M10" s="1030">
        <v>49731.696777287092</v>
      </c>
      <c r="N10" s="475">
        <v>49731.696777287405</v>
      </c>
      <c r="O10" s="246">
        <v>3268366.6</v>
      </c>
      <c r="P10" s="205">
        <v>3464468.5959999999</v>
      </c>
      <c r="Q10" s="256">
        <v>3672336.7117599999</v>
      </c>
    </row>
    <row r="11" spans="1:17" ht="11.25" customHeight="1" x14ac:dyDescent="0.25">
      <c r="A11" s="245" t="s">
        <v>938</v>
      </c>
      <c r="B11" s="682"/>
      <c r="C11" s="1066">
        <v>0</v>
      </c>
      <c r="D11" s="1030">
        <v>0</v>
      </c>
      <c r="E11" s="1030">
        <v>0</v>
      </c>
      <c r="F11" s="1030">
        <v>0</v>
      </c>
      <c r="G11" s="1030">
        <v>0</v>
      </c>
      <c r="H11" s="1030">
        <v>0</v>
      </c>
      <c r="I11" s="1030">
        <v>0</v>
      </c>
      <c r="J11" s="1030">
        <v>0</v>
      </c>
      <c r="K11" s="1030">
        <v>0</v>
      </c>
      <c r="L11" s="1030">
        <v>0</v>
      </c>
      <c r="M11" s="1030">
        <v>0</v>
      </c>
      <c r="N11" s="475">
        <v>0</v>
      </c>
      <c r="O11" s="246">
        <v>0</v>
      </c>
      <c r="P11" s="205">
        <v>0</v>
      </c>
      <c r="Q11" s="256">
        <v>0</v>
      </c>
    </row>
    <row r="12" spans="1:17" ht="11.25" customHeight="1" x14ac:dyDescent="0.25">
      <c r="A12" s="245" t="s">
        <v>1619</v>
      </c>
      <c r="B12" s="682"/>
      <c r="C12" s="1066">
        <v>72853.343537692621</v>
      </c>
      <c r="D12" s="1030">
        <v>18277.679142088207</v>
      </c>
      <c r="E12" s="1030">
        <v>109541.90716406622</v>
      </c>
      <c r="F12" s="1030">
        <v>109541.90716406622</v>
      </c>
      <c r="G12" s="1030">
        <v>-149260.33184692281</v>
      </c>
      <c r="H12" s="1030">
        <v>16062.56305209436</v>
      </c>
      <c r="I12" s="1030">
        <v>81063.942404555011</v>
      </c>
      <c r="J12" s="1030">
        <v>94189.346898248215</v>
      </c>
      <c r="K12" s="1030">
        <v>73151.108974358984</v>
      </c>
      <c r="L12" s="1030">
        <v>95659.030339889214</v>
      </c>
      <c r="M12" s="1030">
        <v>50062.174442074705</v>
      </c>
      <c r="N12" s="475">
        <v>50062.174442074727</v>
      </c>
      <c r="O12" s="246">
        <v>621204.84571428574</v>
      </c>
      <c r="P12" s="205">
        <v>658477.13645714289</v>
      </c>
      <c r="Q12" s="256">
        <v>697985.76464457146</v>
      </c>
    </row>
    <row r="13" spans="1:17" ht="11.25" customHeight="1" x14ac:dyDescent="0.25">
      <c r="A13" s="245" t="s">
        <v>473</v>
      </c>
      <c r="B13" s="682"/>
      <c r="C13" s="1066">
        <v>132268.28333333333</v>
      </c>
      <c r="D13" s="1030">
        <v>38298.22500000002</v>
      </c>
      <c r="E13" s="1030">
        <v>25671.484166666658</v>
      </c>
      <c r="F13" s="1030">
        <v>25671.484166666662</v>
      </c>
      <c r="G13" s="1030">
        <v>16739.188333333324</v>
      </c>
      <c r="H13" s="1030">
        <v>467.76000000000022</v>
      </c>
      <c r="I13" s="1030">
        <v>31617.04333333332</v>
      </c>
      <c r="J13" s="1030">
        <v>20849.296666666676</v>
      </c>
      <c r="K13" s="1030">
        <v>14268.694999999991</v>
      </c>
      <c r="L13" s="1030">
        <v>35245.36500000002</v>
      </c>
      <c r="M13" s="1030">
        <v>19451.587500000001</v>
      </c>
      <c r="N13" s="475">
        <v>19451.587499999907</v>
      </c>
      <c r="O13" s="246">
        <v>380000</v>
      </c>
      <c r="P13" s="205">
        <v>402800</v>
      </c>
      <c r="Q13" s="256">
        <v>426968</v>
      </c>
    </row>
    <row r="14" spans="1:17" ht="11.25" customHeight="1" x14ac:dyDescent="0.25">
      <c r="A14" s="245" t="s">
        <v>474</v>
      </c>
      <c r="B14" s="682"/>
      <c r="C14" s="1066">
        <v>123058.35</v>
      </c>
      <c r="D14" s="1030">
        <v>0</v>
      </c>
      <c r="E14" s="1030">
        <v>197095.94499999998</v>
      </c>
      <c r="F14" s="1030">
        <v>197095.94500000001</v>
      </c>
      <c r="G14" s="1030">
        <v>134039.40000000002</v>
      </c>
      <c r="H14" s="1030">
        <v>0</v>
      </c>
      <c r="I14" s="1030">
        <v>272320.59999999998</v>
      </c>
      <c r="J14" s="1030">
        <v>152904.39999999991</v>
      </c>
      <c r="K14" s="1030">
        <v>134264.80000000005</v>
      </c>
      <c r="L14" s="1030">
        <v>139866</v>
      </c>
      <c r="M14" s="1030">
        <v>224677.28000000003</v>
      </c>
      <c r="N14" s="475">
        <v>224677.28000000003</v>
      </c>
      <c r="O14" s="246">
        <v>1800000</v>
      </c>
      <c r="P14" s="205">
        <v>1908000</v>
      </c>
      <c r="Q14" s="256">
        <v>2022480</v>
      </c>
    </row>
    <row r="15" spans="1:17" ht="11.25" customHeight="1" x14ac:dyDescent="0.25">
      <c r="A15" s="245" t="s">
        <v>1538</v>
      </c>
      <c r="B15" s="682"/>
      <c r="C15" s="1066">
        <v>0</v>
      </c>
      <c r="D15" s="1030">
        <v>0</v>
      </c>
      <c r="E15" s="1030">
        <v>0</v>
      </c>
      <c r="F15" s="1030">
        <v>0</v>
      </c>
      <c r="G15" s="1030">
        <v>0</v>
      </c>
      <c r="H15" s="1030">
        <v>0</v>
      </c>
      <c r="I15" s="1030">
        <v>0</v>
      </c>
      <c r="J15" s="1030">
        <v>0</v>
      </c>
      <c r="K15" s="1030">
        <v>0</v>
      </c>
      <c r="L15" s="1030">
        <v>0</v>
      </c>
      <c r="M15" s="1030">
        <v>0</v>
      </c>
      <c r="N15" s="475">
        <v>0</v>
      </c>
      <c r="O15" s="246">
        <v>0</v>
      </c>
      <c r="P15" s="205">
        <v>0</v>
      </c>
      <c r="Q15" s="256">
        <v>0</v>
      </c>
    </row>
    <row r="16" spans="1:17" ht="11.25" customHeight="1" x14ac:dyDescent="0.25">
      <c r="A16" s="245" t="s">
        <v>475</v>
      </c>
      <c r="B16" s="682"/>
      <c r="C16" s="1066">
        <v>546982.69145833328</v>
      </c>
      <c r="D16" s="1030">
        <v>494540.84270833345</v>
      </c>
      <c r="E16" s="1030">
        <v>957728.11791666644</v>
      </c>
      <c r="F16" s="1030">
        <v>957728.11791666644</v>
      </c>
      <c r="G16" s="1030">
        <v>588249.7506250001</v>
      </c>
      <c r="H16" s="1030">
        <v>528278.34750000027</v>
      </c>
      <c r="I16" s="1030">
        <v>275753.82312500023</v>
      </c>
      <c r="J16" s="1030">
        <v>859953.5356249992</v>
      </c>
      <c r="K16" s="1030">
        <v>1495489.1208333338</v>
      </c>
      <c r="L16" s="1030">
        <v>580512.27520833362</v>
      </c>
      <c r="M16" s="1030">
        <v>5902141.6885416675</v>
      </c>
      <c r="N16" s="475">
        <v>5902141.6885416657</v>
      </c>
      <c r="O16" s="246">
        <v>19089500</v>
      </c>
      <c r="P16" s="205">
        <v>20234870</v>
      </c>
      <c r="Q16" s="256">
        <v>21448962.199999999</v>
      </c>
    </row>
    <row r="17" spans="1:17" ht="11.25" customHeight="1" x14ac:dyDescent="0.25">
      <c r="A17" s="245" t="s">
        <v>476</v>
      </c>
      <c r="B17" s="682"/>
      <c r="C17" s="1066">
        <v>40024.242171717175</v>
      </c>
      <c r="D17" s="1030">
        <v>32117.022121212125</v>
      </c>
      <c r="E17" s="1030">
        <v>30600.037424242426</v>
      </c>
      <c r="F17" s="1030">
        <v>30600.037424242422</v>
      </c>
      <c r="G17" s="1030">
        <v>63497.387659932661</v>
      </c>
      <c r="H17" s="1030">
        <v>23658.969309764299</v>
      </c>
      <c r="I17" s="1030">
        <v>49534.315622895636</v>
      </c>
      <c r="J17" s="1030">
        <v>51991.924208754201</v>
      </c>
      <c r="K17" s="1030">
        <v>33266.714410774417</v>
      </c>
      <c r="L17" s="1030">
        <v>49056.37515151516</v>
      </c>
      <c r="M17" s="1030">
        <v>7326.4872474747435</v>
      </c>
      <c r="N17" s="475">
        <v>7326.4872474747244</v>
      </c>
      <c r="O17" s="246">
        <v>419000</v>
      </c>
      <c r="P17" s="205">
        <v>444140</v>
      </c>
      <c r="Q17" s="256">
        <v>470788.4</v>
      </c>
    </row>
    <row r="18" spans="1:17" ht="11.25" customHeight="1" x14ac:dyDescent="0.25">
      <c r="A18" s="245" t="s">
        <v>1514</v>
      </c>
      <c r="B18" s="682"/>
      <c r="C18" s="1066">
        <v>822.45</v>
      </c>
      <c r="D18" s="1030">
        <v>935.8499999999998</v>
      </c>
      <c r="E18" s="1030">
        <v>894.72</v>
      </c>
      <c r="F18" s="1030">
        <v>894.7199999999998</v>
      </c>
      <c r="G18" s="1030">
        <v>556.05000000000018</v>
      </c>
      <c r="H18" s="1030">
        <v>823.60000000000036</v>
      </c>
      <c r="I18" s="1030">
        <v>809</v>
      </c>
      <c r="J18" s="1030">
        <v>1188.5499999999993</v>
      </c>
      <c r="K18" s="1030">
        <v>224.45000000000073</v>
      </c>
      <c r="L18" s="1030">
        <v>1777.8399999999992</v>
      </c>
      <c r="M18" s="1030">
        <v>1536.3850000000002</v>
      </c>
      <c r="N18" s="475">
        <v>1536.3850000000002</v>
      </c>
      <c r="O18" s="246">
        <v>12000</v>
      </c>
      <c r="P18" s="205">
        <v>12720</v>
      </c>
      <c r="Q18" s="256">
        <v>13483.2</v>
      </c>
    </row>
    <row r="19" spans="1:17" ht="11.25" customHeight="1" x14ac:dyDescent="0.25">
      <c r="A19" s="245" t="s">
        <v>35</v>
      </c>
      <c r="B19" s="682"/>
      <c r="C19" s="1066">
        <v>7204576.7676718701</v>
      </c>
      <c r="D19" s="1030">
        <v>0</v>
      </c>
      <c r="E19" s="1030">
        <v>7080.4612500000012</v>
      </c>
      <c r="F19" s="1030">
        <v>7080.4612499999985</v>
      </c>
      <c r="G19" s="1030">
        <v>0</v>
      </c>
      <c r="H19" s="1030">
        <v>5285171.5709066754</v>
      </c>
      <c r="I19" s="1030">
        <v>0</v>
      </c>
      <c r="J19" s="1030">
        <v>0</v>
      </c>
      <c r="K19" s="1030">
        <v>4388316.7148480564</v>
      </c>
      <c r="L19" s="1030">
        <v>0</v>
      </c>
      <c r="M19" s="1030">
        <v>1946387.0120366986</v>
      </c>
      <c r="N19" s="475">
        <v>1946387.0120366998</v>
      </c>
      <c r="O19" s="246">
        <v>20785000</v>
      </c>
      <c r="P19" s="205">
        <v>22636800</v>
      </c>
      <c r="Q19" s="256">
        <v>24289408</v>
      </c>
    </row>
    <row r="20" spans="1:17" ht="11.25" customHeight="1" x14ac:dyDescent="0.25">
      <c r="A20" s="245" t="s">
        <v>1566</v>
      </c>
      <c r="B20" s="682"/>
      <c r="C20" s="1066">
        <v>10630.849696011588</v>
      </c>
      <c r="D20" s="1030">
        <v>11814.559278324015</v>
      </c>
      <c r="E20" s="1030">
        <v>20243.085940836943</v>
      </c>
      <c r="F20" s="1030">
        <v>20243.085940836943</v>
      </c>
      <c r="G20" s="1030">
        <v>11577.370486427026</v>
      </c>
      <c r="H20" s="1030">
        <v>6390.5127324722062</v>
      </c>
      <c r="I20" s="1030">
        <v>10875.181327327058</v>
      </c>
      <c r="J20" s="1030">
        <v>2091.3043222333217</v>
      </c>
      <c r="K20" s="1030">
        <v>15823.803320062978</v>
      </c>
      <c r="L20" s="1030">
        <v>27025.701026990551</v>
      </c>
      <c r="M20" s="1030">
        <v>69017.272964238684</v>
      </c>
      <c r="N20" s="475">
        <v>69017.272964238684</v>
      </c>
      <c r="O20" s="246">
        <v>274750</v>
      </c>
      <c r="P20" s="205">
        <v>291235</v>
      </c>
      <c r="Q20" s="256">
        <v>308709.10000000009</v>
      </c>
    </row>
    <row r="21" spans="1:17" ht="11.25" customHeight="1" x14ac:dyDescent="0.25">
      <c r="A21" s="245" t="s">
        <v>477</v>
      </c>
      <c r="B21" s="682"/>
      <c r="C21" s="1066">
        <v>16666.666666666668</v>
      </c>
      <c r="D21" s="1030">
        <v>16666.666666666668</v>
      </c>
      <c r="E21" s="1030">
        <v>16666.666666666668</v>
      </c>
      <c r="F21" s="1030">
        <v>16666.666666666668</v>
      </c>
      <c r="G21" s="1030">
        <v>17266.666666666668</v>
      </c>
      <c r="H21" s="1030">
        <v>16866.666666666668</v>
      </c>
      <c r="I21" s="1030">
        <v>30566.666666666672</v>
      </c>
      <c r="J21" s="1030">
        <v>16666.666666666668</v>
      </c>
      <c r="K21" s="1030">
        <v>20961.666666666668</v>
      </c>
      <c r="L21" s="1030">
        <v>16666.666666666668</v>
      </c>
      <c r="M21" s="1030">
        <v>19669.166666666668</v>
      </c>
      <c r="N21" s="475">
        <v>19669.166666666686</v>
      </c>
      <c r="O21" s="246">
        <v>225000</v>
      </c>
      <c r="P21" s="205">
        <v>238500</v>
      </c>
      <c r="Q21" s="256">
        <v>252810</v>
      </c>
    </row>
    <row r="22" spans="1:17" x14ac:dyDescent="0.25">
      <c r="A22" s="257" t="s">
        <v>1048</v>
      </c>
      <c r="B22" s="683"/>
      <c r="C22" s="261">
        <v>14928952.786032045</v>
      </c>
      <c r="D22" s="259">
        <v>721150.45742957445</v>
      </c>
      <c r="E22" s="259">
        <v>4985270.7567226505</v>
      </c>
      <c r="F22" s="259">
        <v>4985270.7567226496</v>
      </c>
      <c r="G22" s="259">
        <v>2834775.8372049746</v>
      </c>
      <c r="H22" s="259">
        <v>5899442.5082869558</v>
      </c>
      <c r="I22" s="259">
        <v>6325349.557959904</v>
      </c>
      <c r="J22" s="259">
        <v>3450371.5129158832</v>
      </c>
      <c r="K22" s="259">
        <v>8954833.6282957532</v>
      </c>
      <c r="L22" s="259">
        <v>3429760.2016762448</v>
      </c>
      <c r="M22" s="259">
        <v>7340871.0296188174</v>
      </c>
      <c r="N22" s="1237">
        <v>7340871.0296188146</v>
      </c>
      <c r="O22" s="261">
        <v>71196920.062484264</v>
      </c>
      <c r="P22" s="259">
        <v>76073435.266233325</v>
      </c>
      <c r="Q22" s="260">
        <v>80932241.376207322</v>
      </c>
    </row>
    <row r="23" spans="1:17" ht="5.0999999999999996" customHeight="1" x14ac:dyDescent="0.25">
      <c r="A23" s="265"/>
      <c r="B23" s="682"/>
      <c r="C23" s="246"/>
      <c r="D23" s="205"/>
      <c r="E23" s="205"/>
      <c r="F23" s="205"/>
      <c r="G23" s="205"/>
      <c r="H23" s="205"/>
      <c r="I23" s="205"/>
      <c r="J23" s="205"/>
      <c r="K23" s="205"/>
      <c r="L23" s="205"/>
      <c r="M23" s="205"/>
      <c r="N23" s="475"/>
      <c r="O23" s="246"/>
      <c r="P23" s="205"/>
      <c r="Q23" s="256"/>
    </row>
    <row r="24" spans="1:17" x14ac:dyDescent="0.25">
      <c r="A24" s="244" t="s">
        <v>1654</v>
      </c>
      <c r="B24" s="684"/>
      <c r="C24" s="246"/>
      <c r="D24" s="205"/>
      <c r="E24" s="205"/>
      <c r="F24" s="205"/>
      <c r="G24" s="205"/>
      <c r="H24" s="205"/>
      <c r="I24" s="205"/>
      <c r="J24" s="205"/>
      <c r="K24" s="205"/>
      <c r="L24" s="205"/>
      <c r="M24" s="205"/>
      <c r="N24" s="475"/>
      <c r="O24" s="246"/>
      <c r="P24" s="205"/>
      <c r="Q24" s="256"/>
    </row>
    <row r="25" spans="1:17" ht="11.25" customHeight="1" x14ac:dyDescent="0.25">
      <c r="A25" s="245" t="s">
        <v>478</v>
      </c>
      <c r="B25" s="682"/>
      <c r="C25" s="1066">
        <v>1788162.7760237458</v>
      </c>
      <c r="D25" s="1030">
        <v>1740218.3787459785</v>
      </c>
      <c r="E25" s="1030">
        <v>1926510.7930288522</v>
      </c>
      <c r="F25" s="1030">
        <v>1926510.7930288524</v>
      </c>
      <c r="G25" s="1030">
        <v>1793891.2125306437</v>
      </c>
      <c r="H25" s="1030">
        <v>2402336.4558857232</v>
      </c>
      <c r="I25" s="1030">
        <v>2015741.5157703504</v>
      </c>
      <c r="J25" s="1030">
        <v>1971332.5701012693</v>
      </c>
      <c r="K25" s="1030">
        <v>1824140.0638356504</v>
      </c>
      <c r="L25" s="1030">
        <v>1992833.6324003465</v>
      </c>
      <c r="M25" s="1030">
        <v>4611921.3839038527</v>
      </c>
      <c r="N25" s="475">
        <v>4611921.383903861</v>
      </c>
      <c r="O25" s="246">
        <v>28605520.959159125</v>
      </c>
      <c r="P25" s="205">
        <v>30321852.216708675</v>
      </c>
      <c r="Q25" s="256">
        <v>32141163.349711191</v>
      </c>
    </row>
    <row r="26" spans="1:17" ht="11.25" customHeight="1" x14ac:dyDescent="0.25">
      <c r="A26" s="245" t="s">
        <v>532</v>
      </c>
      <c r="B26" s="682"/>
      <c r="C26" s="1066">
        <v>144344.55231569515</v>
      </c>
      <c r="D26" s="1030">
        <v>144344.55231569515</v>
      </c>
      <c r="E26" s="1030">
        <v>144344.45341991071</v>
      </c>
      <c r="F26" s="1030">
        <v>144344.45341991071</v>
      </c>
      <c r="G26" s="1030">
        <v>144344.45341991071</v>
      </c>
      <c r="H26" s="1030">
        <v>144344.45341991057</v>
      </c>
      <c r="I26" s="1030">
        <v>144344.45341991071</v>
      </c>
      <c r="J26" s="1030">
        <v>203090.28182841971</v>
      </c>
      <c r="K26" s="1030">
        <v>151556.53904189178</v>
      </c>
      <c r="L26" s="1030">
        <v>151556.53904189158</v>
      </c>
      <c r="M26" s="1030">
        <v>256924.1485784268</v>
      </c>
      <c r="N26" s="475">
        <v>256924.1485784268</v>
      </c>
      <c r="O26" s="246">
        <v>2030463.0288000004</v>
      </c>
      <c r="P26" s="205">
        <v>2152290.8105280004</v>
      </c>
      <c r="Q26" s="256">
        <v>2281428.2591596809</v>
      </c>
    </row>
    <row r="27" spans="1:17" ht="11.25" customHeight="1" x14ac:dyDescent="0.25">
      <c r="A27" s="245" t="s">
        <v>1473</v>
      </c>
      <c r="B27" s="682"/>
      <c r="C27" s="1066">
        <v>0</v>
      </c>
      <c r="D27" s="1030">
        <v>0</v>
      </c>
      <c r="E27" s="1030">
        <v>0</v>
      </c>
      <c r="F27" s="1030">
        <v>0</v>
      </c>
      <c r="G27" s="1030">
        <v>0</v>
      </c>
      <c r="H27" s="1030">
        <v>0</v>
      </c>
      <c r="I27" s="1030">
        <v>0</v>
      </c>
      <c r="J27" s="1030">
        <v>0</v>
      </c>
      <c r="K27" s="1030">
        <v>0</v>
      </c>
      <c r="L27" s="1030">
        <v>0</v>
      </c>
      <c r="M27" s="1030">
        <v>1587027.23</v>
      </c>
      <c r="N27" s="475">
        <v>1587027.23</v>
      </c>
      <c r="O27" s="246">
        <v>3174054.46</v>
      </c>
      <c r="P27" s="205">
        <v>3364497.7276000003</v>
      </c>
      <c r="Q27" s="256">
        <v>3566367.5912560006</v>
      </c>
    </row>
    <row r="28" spans="1:17" ht="11.25" customHeight="1" x14ac:dyDescent="0.25">
      <c r="A28" s="245" t="s">
        <v>1503</v>
      </c>
      <c r="B28" s="682"/>
      <c r="C28" s="1066">
        <v>351762.48499999999</v>
      </c>
      <c r="D28" s="1030">
        <v>351762.48499999999</v>
      </c>
      <c r="E28" s="1030">
        <v>351762.48499999999</v>
      </c>
      <c r="F28" s="1030">
        <v>351762.48499999999</v>
      </c>
      <c r="G28" s="1030">
        <v>351762.48499999999</v>
      </c>
      <c r="H28" s="1030">
        <v>351762.48499999999</v>
      </c>
      <c r="I28" s="1030">
        <v>351762.48499999999</v>
      </c>
      <c r="J28" s="1030">
        <v>351762.48499999999</v>
      </c>
      <c r="K28" s="1030">
        <v>351762.48499999999</v>
      </c>
      <c r="L28" s="1030">
        <v>351762.48499999999</v>
      </c>
      <c r="M28" s="1030">
        <v>1103171.845</v>
      </c>
      <c r="N28" s="475">
        <v>1103171.8450000016</v>
      </c>
      <c r="O28" s="246">
        <v>5723968.540000001</v>
      </c>
      <c r="P28" s="205">
        <v>6067370.652400001</v>
      </c>
      <c r="Q28" s="256">
        <v>6431376.8915440002</v>
      </c>
    </row>
    <row r="29" spans="1:17" ht="11.25" customHeight="1" x14ac:dyDescent="0.25">
      <c r="A29" s="245" t="s">
        <v>1565</v>
      </c>
      <c r="B29" s="682"/>
      <c r="C29" s="1066">
        <v>19070.974999999999</v>
      </c>
      <c r="D29" s="1030">
        <v>68578.27060145454</v>
      </c>
      <c r="E29" s="1030">
        <v>45475.622800727266</v>
      </c>
      <c r="F29" s="1030">
        <v>45475.62280072728</v>
      </c>
      <c r="G29" s="1030">
        <v>47011.252800727278</v>
      </c>
      <c r="H29" s="1030">
        <v>40725.152800727286</v>
      </c>
      <c r="I29" s="1030">
        <v>30428.952800727253</v>
      </c>
      <c r="J29" s="1030">
        <v>64524.902800727272</v>
      </c>
      <c r="K29" s="1030">
        <v>62422.120300727278</v>
      </c>
      <c r="L29" s="1030">
        <v>64566.537800727274</v>
      </c>
      <c r="M29" s="1030">
        <v>81040.294746363623</v>
      </c>
      <c r="N29" s="475">
        <v>81040.294746363652</v>
      </c>
      <c r="O29" s="246">
        <v>650360</v>
      </c>
      <c r="P29" s="205">
        <v>689381.60000000009</v>
      </c>
      <c r="Q29" s="256">
        <v>730744.49600000004</v>
      </c>
    </row>
    <row r="30" spans="1:17" ht="11.25" customHeight="1" x14ac:dyDescent="0.25">
      <c r="A30" s="245" t="s">
        <v>480</v>
      </c>
      <c r="B30" s="682"/>
      <c r="C30" s="1066">
        <v>703855.03746543941</v>
      </c>
      <c r="D30" s="1030">
        <v>989513.54435946862</v>
      </c>
      <c r="E30" s="1030">
        <v>1166971.5868163588</v>
      </c>
      <c r="F30" s="1030">
        <v>1166971.5868163588</v>
      </c>
      <c r="G30" s="1030">
        <v>534389.42671197548</v>
      </c>
      <c r="H30" s="1030">
        <v>505313.15316682955</v>
      </c>
      <c r="I30" s="1030">
        <v>610088.89234054857</v>
      </c>
      <c r="J30" s="1030">
        <v>116546.08294145452</v>
      </c>
      <c r="K30" s="1030">
        <v>1016967.2524780395</v>
      </c>
      <c r="L30" s="1030">
        <v>638321.50001624622</v>
      </c>
      <c r="M30" s="1030">
        <v>934265.96844364016</v>
      </c>
      <c r="N30" s="475">
        <v>934265.96844363958</v>
      </c>
      <c r="O30" s="246">
        <v>9317470</v>
      </c>
      <c r="P30" s="205">
        <v>9876518.2000000011</v>
      </c>
      <c r="Q30" s="256">
        <v>10469109.292000001</v>
      </c>
    </row>
    <row r="31" spans="1:17" ht="11.25" customHeight="1" x14ac:dyDescent="0.25">
      <c r="A31" s="245" t="s">
        <v>1533</v>
      </c>
      <c r="B31" s="682"/>
      <c r="C31" s="1066">
        <v>0</v>
      </c>
      <c r="D31" s="1030">
        <v>0</v>
      </c>
      <c r="E31" s="1030">
        <v>0</v>
      </c>
      <c r="F31" s="1030">
        <v>0</v>
      </c>
      <c r="G31" s="1030">
        <v>0</v>
      </c>
      <c r="H31" s="1030">
        <v>0</v>
      </c>
      <c r="I31" s="1030">
        <v>0</v>
      </c>
      <c r="J31" s="1030">
        <v>0</v>
      </c>
      <c r="K31" s="1030">
        <v>0</v>
      </c>
      <c r="L31" s="1030">
        <v>0</v>
      </c>
      <c r="M31" s="1030">
        <v>0</v>
      </c>
      <c r="N31" s="475">
        <v>0</v>
      </c>
      <c r="O31" s="246">
        <v>0</v>
      </c>
      <c r="P31" s="205">
        <v>0</v>
      </c>
      <c r="Q31" s="256">
        <v>0</v>
      </c>
    </row>
    <row r="32" spans="1:17" ht="11.25" customHeight="1" x14ac:dyDescent="0.25">
      <c r="A32" s="245" t="s">
        <v>481</v>
      </c>
      <c r="B32" s="682"/>
      <c r="C32" s="1066">
        <v>0</v>
      </c>
      <c r="D32" s="1030">
        <v>0</v>
      </c>
      <c r="E32" s="1030">
        <v>0</v>
      </c>
      <c r="F32" s="1030">
        <v>0</v>
      </c>
      <c r="G32" s="1030">
        <v>0</v>
      </c>
      <c r="H32" s="1030">
        <v>0</v>
      </c>
      <c r="I32" s="1030">
        <v>0</v>
      </c>
      <c r="J32" s="1030">
        <v>0</v>
      </c>
      <c r="K32" s="1030">
        <v>0</v>
      </c>
      <c r="L32" s="1030">
        <v>0</v>
      </c>
      <c r="M32" s="1030">
        <v>5355000</v>
      </c>
      <c r="N32" s="475">
        <v>5355000</v>
      </c>
      <c r="O32" s="246">
        <v>10710000</v>
      </c>
      <c r="P32" s="205">
        <v>11352600</v>
      </c>
      <c r="Q32" s="256">
        <v>12033756</v>
      </c>
    </row>
    <row r="33" spans="1:17" ht="11.25" customHeight="1" x14ac:dyDescent="0.25">
      <c r="A33" s="245" t="s">
        <v>789</v>
      </c>
      <c r="B33" s="682"/>
      <c r="C33" s="1066">
        <v>18628.697419649805</v>
      </c>
      <c r="D33" s="1030">
        <v>93594.380828496214</v>
      </c>
      <c r="E33" s="1030">
        <v>227875.47750038726</v>
      </c>
      <c r="F33" s="1030">
        <v>227875.47750038721</v>
      </c>
      <c r="G33" s="1030">
        <v>1455412.9428932499</v>
      </c>
      <c r="H33" s="1030">
        <v>52398.263071092828</v>
      </c>
      <c r="I33" s="1030">
        <v>2058029.7570373644</v>
      </c>
      <c r="J33" s="1030">
        <v>500002.55967526848</v>
      </c>
      <c r="K33" s="1030">
        <v>550352.13652159693</v>
      </c>
      <c r="L33" s="1030">
        <v>508730.9794566636</v>
      </c>
      <c r="M33" s="1030">
        <v>-353537.49435207818</v>
      </c>
      <c r="N33" s="475">
        <v>-353537.49435207807</v>
      </c>
      <c r="O33" s="246">
        <v>4985825.6831999999</v>
      </c>
      <c r="P33" s="205">
        <v>5284975.224192</v>
      </c>
      <c r="Q33" s="256">
        <v>5602073.7376435203</v>
      </c>
    </row>
    <row r="34" spans="1:17" ht="11.25" customHeight="1" x14ac:dyDescent="0.25">
      <c r="A34" s="245" t="s">
        <v>960</v>
      </c>
      <c r="B34" s="682"/>
      <c r="C34" s="1066">
        <v>1088861.2743243254</v>
      </c>
      <c r="D34" s="1030">
        <v>901338.2790568308</v>
      </c>
      <c r="E34" s="1030">
        <v>1230898.9613820168</v>
      </c>
      <c r="F34" s="1030">
        <v>1230898.961382017</v>
      </c>
      <c r="G34" s="1030">
        <v>1505704.1566079459</v>
      </c>
      <c r="H34" s="1030">
        <v>1886725.2673250253</v>
      </c>
      <c r="I34" s="1030">
        <v>609194.85515917733</v>
      </c>
      <c r="J34" s="1030">
        <v>492563.23814450559</v>
      </c>
      <c r="K34" s="1030">
        <v>875285.89086225594</v>
      </c>
      <c r="L34" s="1030">
        <v>913756.181628527</v>
      </c>
      <c r="M34" s="1030">
        <v>5178948.6736496845</v>
      </c>
      <c r="N34" s="475">
        <v>5178948.6736496873</v>
      </c>
      <c r="O34" s="246">
        <v>21093124.413171999</v>
      </c>
      <c r="P34" s="205">
        <v>20035711.877962321</v>
      </c>
      <c r="Q34" s="256">
        <v>21354254.590640057</v>
      </c>
    </row>
    <row r="35" spans="1:17" ht="11.25" customHeight="1" x14ac:dyDescent="0.25">
      <c r="A35" s="245" t="s">
        <v>406</v>
      </c>
      <c r="B35" s="682"/>
      <c r="C35" s="1066">
        <v>333.33333333333331</v>
      </c>
      <c r="D35" s="1030">
        <v>333.33333333333331</v>
      </c>
      <c r="E35" s="1030">
        <v>333.33333333333331</v>
      </c>
      <c r="F35" s="1030">
        <v>333.33333333333331</v>
      </c>
      <c r="G35" s="1030">
        <v>333.33333333333331</v>
      </c>
      <c r="H35" s="1030">
        <v>333.33333333333331</v>
      </c>
      <c r="I35" s="1030">
        <v>333.33333333333331</v>
      </c>
      <c r="J35" s="1030">
        <v>333.33333333333331</v>
      </c>
      <c r="K35" s="1030">
        <v>333.33333333333331</v>
      </c>
      <c r="L35" s="1030">
        <v>333.33333333333331</v>
      </c>
      <c r="M35" s="1030">
        <v>1833.3333333333333</v>
      </c>
      <c r="N35" s="475">
        <v>1833.333333333333</v>
      </c>
      <c r="O35" s="246">
        <v>7000</v>
      </c>
      <c r="P35" s="205">
        <v>7420</v>
      </c>
      <c r="Q35" s="256">
        <v>7865.2000000000007</v>
      </c>
    </row>
    <row r="36" spans="1:17" x14ac:dyDescent="0.25">
      <c r="A36" s="257" t="s">
        <v>1655</v>
      </c>
      <c r="B36" s="683"/>
      <c r="C36" s="261">
        <v>4115019.1308821896</v>
      </c>
      <c r="D36" s="259">
        <v>4289683.2242412576</v>
      </c>
      <c r="E36" s="259">
        <v>5094172.7132815868</v>
      </c>
      <c r="F36" s="259">
        <v>5094172.7132815858</v>
      </c>
      <c r="G36" s="259">
        <v>5832849.263297786</v>
      </c>
      <c r="H36" s="259">
        <v>5383938.5640026415</v>
      </c>
      <c r="I36" s="259">
        <v>5819924.2448614109</v>
      </c>
      <c r="J36" s="259">
        <v>3700155.4538249779</v>
      </c>
      <c r="K36" s="259">
        <v>4832819.8213734953</v>
      </c>
      <c r="L36" s="259">
        <v>4621861.1886777347</v>
      </c>
      <c r="M36" s="259">
        <v>18756595.383303221</v>
      </c>
      <c r="N36" s="1237">
        <v>18756595.383303236</v>
      </c>
      <c r="O36" s="261">
        <v>86297787.084331125</v>
      </c>
      <c r="P36" s="259">
        <v>89152618.309390992</v>
      </c>
      <c r="Q36" s="260">
        <v>94618139.407954454</v>
      </c>
    </row>
    <row r="37" spans="1:17" ht="5.0999999999999996" customHeight="1" x14ac:dyDescent="0.25">
      <c r="A37" s="265"/>
      <c r="B37" s="682"/>
      <c r="C37" s="246"/>
      <c r="D37" s="205"/>
      <c r="E37" s="205"/>
      <c r="F37" s="205"/>
      <c r="G37" s="205"/>
      <c r="H37" s="205"/>
      <c r="I37" s="205"/>
      <c r="J37" s="205"/>
      <c r="K37" s="205"/>
      <c r="L37" s="205"/>
      <c r="M37" s="205"/>
      <c r="N37" s="475"/>
      <c r="O37" s="246"/>
      <c r="P37" s="205"/>
      <c r="Q37" s="256"/>
    </row>
    <row r="38" spans="1:17" x14ac:dyDescent="0.25">
      <c r="A38" s="685" t="s">
        <v>1725</v>
      </c>
      <c r="B38" s="686"/>
      <c r="C38" s="261">
        <v>10813933.655149855</v>
      </c>
      <c r="D38" s="259">
        <v>-3568532.7668116833</v>
      </c>
      <c r="E38" s="259">
        <v>-108901.95655893628</v>
      </c>
      <c r="F38" s="259">
        <v>-108901.95655893628</v>
      </c>
      <c r="G38" s="259">
        <v>-2998073.4260928114</v>
      </c>
      <c r="H38" s="259">
        <v>515503.94428431429</v>
      </c>
      <c r="I38" s="259">
        <v>505425.31309849303</v>
      </c>
      <c r="J38" s="259">
        <v>-249783.94090909464</v>
      </c>
      <c r="K38" s="259">
        <v>4122013.8069222579</v>
      </c>
      <c r="L38" s="259">
        <v>-1192100.9870014898</v>
      </c>
      <c r="M38" s="259">
        <v>-11415724.353684403</v>
      </c>
      <c r="N38" s="1237">
        <v>-11415724.353684422</v>
      </c>
      <c r="O38" s="261">
        <v>-15100867.021846861</v>
      </c>
      <c r="P38" s="259">
        <v>-13079183.043157667</v>
      </c>
      <c r="Q38" s="260">
        <v>-13685898.031747133</v>
      </c>
    </row>
    <row r="39" spans="1:17" ht="11.25" customHeight="1" x14ac:dyDescent="0.25">
      <c r="A39" s="245" t="s">
        <v>1352</v>
      </c>
      <c r="B39" s="682"/>
      <c r="C39" s="1066">
        <v>0</v>
      </c>
      <c r="D39" s="1030">
        <v>0</v>
      </c>
      <c r="E39" s="1030">
        <v>0</v>
      </c>
      <c r="F39" s="1030">
        <v>0</v>
      </c>
      <c r="G39" s="1030">
        <v>0</v>
      </c>
      <c r="H39" s="1030">
        <v>0</v>
      </c>
      <c r="I39" s="1030">
        <v>0</v>
      </c>
      <c r="J39" s="1030">
        <v>0</v>
      </c>
      <c r="K39" s="1030">
        <v>0</v>
      </c>
      <c r="L39" s="1030">
        <v>0</v>
      </c>
      <c r="M39" s="1030">
        <v>5755000</v>
      </c>
      <c r="N39" s="475">
        <v>5755000</v>
      </c>
      <c r="O39" s="246">
        <v>11510000</v>
      </c>
      <c r="P39" s="205">
        <v>12141000</v>
      </c>
      <c r="Q39" s="256">
        <v>12843000</v>
      </c>
    </row>
    <row r="40" spans="1:17" ht="11.25" customHeight="1" x14ac:dyDescent="0.25">
      <c r="A40" s="245" t="s">
        <v>819</v>
      </c>
      <c r="B40" s="682"/>
      <c r="C40" s="1066">
        <v>0</v>
      </c>
      <c r="D40" s="1030">
        <v>0</v>
      </c>
      <c r="E40" s="1030">
        <v>0</v>
      </c>
      <c r="F40" s="1030">
        <v>0</v>
      </c>
      <c r="G40" s="1030">
        <v>0</v>
      </c>
      <c r="H40" s="1030">
        <v>0</v>
      </c>
      <c r="I40" s="1030">
        <v>0</v>
      </c>
      <c r="J40" s="1030">
        <v>0</v>
      </c>
      <c r="K40" s="1030">
        <v>0</v>
      </c>
      <c r="L40" s="1030">
        <v>0</v>
      </c>
      <c r="M40" s="1030">
        <v>0</v>
      </c>
      <c r="N40" s="475">
        <v>0</v>
      </c>
      <c r="O40" s="246">
        <v>0</v>
      </c>
      <c r="P40" s="205">
        <v>0</v>
      </c>
      <c r="Q40" s="256">
        <v>0</v>
      </c>
    </row>
    <row r="41" spans="1:17" ht="11.25" customHeight="1" x14ac:dyDescent="0.25">
      <c r="A41" s="245" t="s">
        <v>39</v>
      </c>
      <c r="B41" s="682"/>
      <c r="C41" s="1066">
        <v>0</v>
      </c>
      <c r="D41" s="1030">
        <v>0</v>
      </c>
      <c r="E41" s="1030">
        <v>0</v>
      </c>
      <c r="F41" s="1030">
        <v>0</v>
      </c>
      <c r="G41" s="1030">
        <v>0</v>
      </c>
      <c r="H41" s="1030">
        <v>0</v>
      </c>
      <c r="I41" s="1030">
        <v>0</v>
      </c>
      <c r="J41" s="1030">
        <v>0</v>
      </c>
      <c r="K41" s="1030">
        <v>0</v>
      </c>
      <c r="L41" s="1030">
        <v>0</v>
      </c>
      <c r="M41" s="1030">
        <v>0</v>
      </c>
      <c r="N41" s="475">
        <v>0</v>
      </c>
      <c r="O41" s="246">
        <v>0</v>
      </c>
      <c r="P41" s="205">
        <v>0</v>
      </c>
      <c r="Q41" s="256">
        <v>0</v>
      </c>
    </row>
    <row r="42" spans="1:17" s="635" customFormat="1" ht="22.5" customHeight="1" x14ac:dyDescent="0.2">
      <c r="A42" s="687" t="s">
        <v>438</v>
      </c>
      <c r="B42" s="688"/>
      <c r="C42" s="2594">
        <v>10813933.655149855</v>
      </c>
      <c r="D42" s="2595">
        <v>-3568532.7668116833</v>
      </c>
      <c r="E42" s="2595">
        <v>-108901.95655893628</v>
      </c>
      <c r="F42" s="2595">
        <v>-108901.95655893628</v>
      </c>
      <c r="G42" s="2595">
        <v>-2998073.4260928114</v>
      </c>
      <c r="H42" s="2595">
        <v>515503.94428431429</v>
      </c>
      <c r="I42" s="2595">
        <v>505425.31309849303</v>
      </c>
      <c r="J42" s="2595">
        <v>-249783.94090909464</v>
      </c>
      <c r="K42" s="2595">
        <v>4122013.8069222579</v>
      </c>
      <c r="L42" s="2595">
        <v>-1192100.9870014898</v>
      </c>
      <c r="M42" s="2595">
        <v>-5660724.353684403</v>
      </c>
      <c r="N42" s="2596">
        <v>-5660724.3536844216</v>
      </c>
      <c r="O42" s="2594">
        <v>-3590867.0218468606</v>
      </c>
      <c r="P42" s="2595">
        <v>-938183.04315766692</v>
      </c>
      <c r="Q42" s="2597">
        <v>-842898.03174713254</v>
      </c>
    </row>
    <row r="43" spans="1:17" ht="11.25" customHeight="1" x14ac:dyDescent="0.25">
      <c r="A43" s="245" t="s">
        <v>1052</v>
      </c>
      <c r="B43" s="682"/>
      <c r="C43" s="1066">
        <v>0</v>
      </c>
      <c r="D43" s="1030">
        <v>0</v>
      </c>
      <c r="E43" s="1030">
        <v>0</v>
      </c>
      <c r="F43" s="1030">
        <v>0</v>
      </c>
      <c r="G43" s="1030">
        <v>0</v>
      </c>
      <c r="H43" s="1030">
        <v>0</v>
      </c>
      <c r="I43" s="1030">
        <v>0</v>
      </c>
      <c r="J43" s="1030">
        <v>0</v>
      </c>
      <c r="K43" s="1030">
        <v>0</v>
      </c>
      <c r="L43" s="1030">
        <v>0</v>
      </c>
      <c r="M43" s="1030">
        <v>0</v>
      </c>
      <c r="N43" s="475">
        <v>0</v>
      </c>
      <c r="O43" s="246">
        <v>0</v>
      </c>
      <c r="P43" s="205">
        <v>0</v>
      </c>
      <c r="Q43" s="256">
        <v>0</v>
      </c>
    </row>
    <row r="44" spans="1:17" ht="11.25" customHeight="1" x14ac:dyDescent="0.25">
      <c r="A44" s="245" t="s">
        <v>1120</v>
      </c>
      <c r="B44" s="682"/>
      <c r="C44" s="1066">
        <v>0</v>
      </c>
      <c r="D44" s="1030">
        <v>0</v>
      </c>
      <c r="E44" s="1030">
        <v>0</v>
      </c>
      <c r="F44" s="1030">
        <v>0</v>
      </c>
      <c r="G44" s="1030">
        <v>0</v>
      </c>
      <c r="H44" s="1030">
        <v>0</v>
      </c>
      <c r="I44" s="1030">
        <v>0</v>
      </c>
      <c r="J44" s="1030">
        <v>0</v>
      </c>
      <c r="K44" s="1030">
        <v>0</v>
      </c>
      <c r="L44" s="1030">
        <v>0</v>
      </c>
      <c r="M44" s="1030">
        <v>0</v>
      </c>
      <c r="N44" s="475">
        <v>0</v>
      </c>
      <c r="O44" s="246">
        <v>0</v>
      </c>
      <c r="P44" s="205">
        <v>0</v>
      </c>
      <c r="Q44" s="256">
        <v>0</v>
      </c>
    </row>
    <row r="45" spans="1:17" x14ac:dyDescent="0.25">
      <c r="A45" s="459" t="s">
        <v>461</v>
      </c>
      <c r="B45" s="689"/>
      <c r="C45" s="1066">
        <v>0</v>
      </c>
      <c r="D45" s="1030">
        <v>0</v>
      </c>
      <c r="E45" s="1030">
        <v>0</v>
      </c>
      <c r="F45" s="1030">
        <v>0</v>
      </c>
      <c r="G45" s="1030">
        <v>0</v>
      </c>
      <c r="H45" s="1030">
        <v>0</v>
      </c>
      <c r="I45" s="1030">
        <v>0</v>
      </c>
      <c r="J45" s="1030">
        <v>0</v>
      </c>
      <c r="K45" s="1030">
        <v>0</v>
      </c>
      <c r="L45" s="1030">
        <v>0</v>
      </c>
      <c r="M45" s="1030">
        <v>0</v>
      </c>
      <c r="N45" s="475">
        <v>0</v>
      </c>
      <c r="O45" s="246">
        <v>0</v>
      </c>
      <c r="P45" s="205">
        <v>0</v>
      </c>
      <c r="Q45" s="256">
        <v>0</v>
      </c>
    </row>
    <row r="46" spans="1:17" x14ac:dyDescent="0.25">
      <c r="A46" s="673" t="s">
        <v>1725</v>
      </c>
      <c r="B46" s="690">
        <v>1</v>
      </c>
      <c r="C46" s="321">
        <v>10813933.655149855</v>
      </c>
      <c r="D46" s="224">
        <v>-3568532.7668116833</v>
      </c>
      <c r="E46" s="224">
        <v>-108901.95655893628</v>
      </c>
      <c r="F46" s="224">
        <v>-108901.95655893628</v>
      </c>
      <c r="G46" s="224">
        <v>-2998073.4260928114</v>
      </c>
      <c r="H46" s="224">
        <v>515503.94428431429</v>
      </c>
      <c r="I46" s="224">
        <v>505425.31309849303</v>
      </c>
      <c r="J46" s="224">
        <v>-249783.94090909464</v>
      </c>
      <c r="K46" s="224">
        <v>4122013.8069222579</v>
      </c>
      <c r="L46" s="224">
        <v>-1192100.9870014898</v>
      </c>
      <c r="M46" s="224">
        <v>-5660724.353684403</v>
      </c>
      <c r="N46" s="660">
        <v>-5660724.3536844216</v>
      </c>
      <c r="O46" s="321">
        <v>-3590867.0218468606</v>
      </c>
      <c r="P46" s="224">
        <v>-938183.04315766692</v>
      </c>
      <c r="Q46" s="320">
        <v>-842898.03174713254</v>
      </c>
    </row>
    <row r="47" spans="1:17" s="625" customFormat="1" x14ac:dyDescent="0.25">
      <c r="A47" s="1141" t="s">
        <v>986</v>
      </c>
      <c r="B47" s="871"/>
      <c r="C47" s="839"/>
      <c r="D47" s="839"/>
      <c r="E47" s="839"/>
      <c r="F47" s="839"/>
      <c r="G47" s="839"/>
      <c r="H47" s="839"/>
      <c r="I47" s="839"/>
      <c r="J47" s="839"/>
      <c r="K47" s="839"/>
      <c r="L47" s="839"/>
      <c r="M47" s="839"/>
      <c r="N47" s="839"/>
      <c r="O47" s="839"/>
      <c r="P47" s="839"/>
      <c r="Q47" s="839"/>
    </row>
    <row r="48" spans="1:17" s="625" customFormat="1" x14ac:dyDescent="0.25">
      <c r="A48" s="1139" t="s">
        <v>1615</v>
      </c>
      <c r="C48" s="873"/>
      <c r="D48" s="873"/>
      <c r="E48" s="873"/>
      <c r="F48" s="873"/>
      <c r="G48" s="873"/>
      <c r="H48" s="873"/>
      <c r="I48" s="873"/>
      <c r="J48" s="873"/>
      <c r="K48" s="873"/>
      <c r="L48" s="873"/>
      <c r="M48" s="873"/>
      <c r="N48" s="873"/>
      <c r="O48" s="873"/>
      <c r="P48" s="873"/>
      <c r="Q48" s="873"/>
    </row>
    <row r="49" spans="1:17" x14ac:dyDescent="0.25">
      <c r="A49" s="392" t="s">
        <v>1528</v>
      </c>
      <c r="B49" s="392"/>
      <c r="C49" s="2598">
        <v>1.4901161193847656E-8</v>
      </c>
      <c r="D49" s="2598">
        <v>-3.7252902984619141E-9</v>
      </c>
      <c r="E49" s="2598">
        <v>-8.2945916801691055E-10</v>
      </c>
      <c r="F49" s="2598">
        <v>-4.8021320253610611E-10</v>
      </c>
      <c r="G49" s="2598">
        <v>0</v>
      </c>
      <c r="H49" s="2598">
        <v>3.2014213502407074E-9</v>
      </c>
      <c r="I49" s="2598">
        <v>8.7311491370201111E-10</v>
      </c>
      <c r="J49" s="2598">
        <v>8.7311491370201111E-10</v>
      </c>
      <c r="K49" s="2598">
        <v>0</v>
      </c>
      <c r="L49" s="2598">
        <v>0</v>
      </c>
      <c r="M49" s="2598">
        <v>0</v>
      </c>
      <c r="N49" s="2598">
        <v>-1.0244548320770264E-8</v>
      </c>
      <c r="O49" s="2598">
        <v>-9.3132257461547852E-9</v>
      </c>
      <c r="P49" s="2599">
        <v>0</v>
      </c>
      <c r="Q49" s="2599">
        <v>0</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enableFormatConditionsCalculation="0">
    <tabColor indexed="42"/>
    <pageSetUpPr fitToPage="1"/>
  </sheetPr>
  <dimension ref="A1:R50"/>
  <sheetViews>
    <sheetView showGridLines="0" tabSelected="1" workbookViewId="0">
      <pane xSplit="2" ySplit="3" topLeftCell="C29"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148" customWidth="1"/>
    <col min="3" max="14" width="8.28515625" style="338" customWidth="1"/>
    <col min="15" max="17" width="9.28515625" style="148" customWidth="1"/>
    <col min="18" max="16384" width="9.140625" style="148"/>
  </cols>
  <sheetData>
    <row r="1" spans="1:18" ht="13.5" customHeight="1" x14ac:dyDescent="0.25">
      <c r="A1" s="146" t="s">
        <v>2548</v>
      </c>
      <c r="B1" s="146"/>
      <c r="C1" s="1997"/>
      <c r="D1" s="1997"/>
      <c r="E1" s="1997"/>
      <c r="F1" s="1997"/>
      <c r="G1" s="1997"/>
      <c r="H1" s="1997"/>
      <c r="I1" s="1997"/>
      <c r="J1" s="1997"/>
      <c r="K1" s="1997"/>
      <c r="L1" s="1997"/>
      <c r="M1" s="1997"/>
      <c r="N1" s="1997"/>
      <c r="O1" s="146"/>
      <c r="P1" s="146"/>
      <c r="Q1" s="146"/>
    </row>
    <row r="2" spans="1:18" ht="28.5"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8" ht="25.5" x14ac:dyDescent="0.25">
      <c r="A3" s="793" t="s">
        <v>667</v>
      </c>
      <c r="B3" s="798"/>
      <c r="C3" s="2004" t="s">
        <v>725</v>
      </c>
      <c r="D3" s="741" t="s">
        <v>1416</v>
      </c>
      <c r="E3" s="741" t="s">
        <v>1417</v>
      </c>
      <c r="F3" s="741" t="s">
        <v>1418</v>
      </c>
      <c r="G3" s="741" t="s">
        <v>706</v>
      </c>
      <c r="H3" s="741" t="s">
        <v>707</v>
      </c>
      <c r="I3" s="741" t="s">
        <v>708</v>
      </c>
      <c r="J3" s="741" t="s">
        <v>709</v>
      </c>
      <c r="K3" s="741" t="s">
        <v>710</v>
      </c>
      <c r="L3" s="741" t="s">
        <v>711</v>
      </c>
      <c r="M3" s="741" t="s">
        <v>712</v>
      </c>
      <c r="N3" s="354" t="s">
        <v>713</v>
      </c>
      <c r="O3" s="283" t="s">
        <v>2483</v>
      </c>
      <c r="P3" s="353" t="s">
        <v>2484</v>
      </c>
      <c r="Q3" s="354" t="s">
        <v>2485</v>
      </c>
    </row>
    <row r="4" spans="1:18" x14ac:dyDescent="0.25">
      <c r="A4" s="244" t="s">
        <v>1375</v>
      </c>
      <c r="B4" s="684"/>
      <c r="C4" s="778"/>
      <c r="D4" s="776"/>
      <c r="E4" s="776"/>
      <c r="F4" s="776"/>
      <c r="G4" s="776"/>
      <c r="H4" s="776"/>
      <c r="I4" s="776"/>
      <c r="J4" s="776"/>
      <c r="K4" s="776"/>
      <c r="L4" s="776"/>
      <c r="M4" s="776"/>
      <c r="N4" s="2131"/>
      <c r="O4" s="368"/>
      <c r="P4" s="296"/>
      <c r="Q4" s="299"/>
    </row>
    <row r="5" spans="1:18" ht="11.25" customHeight="1" x14ac:dyDescent="0.25">
      <c r="A5" s="944" t="s">
        <v>2374</v>
      </c>
      <c r="B5" s="682"/>
      <c r="C5" s="1066">
        <v>12012446.306509389</v>
      </c>
      <c r="D5" s="1030">
        <v>48228.776071270157</v>
      </c>
      <c r="E5" s="1030">
        <v>374248.55457698304</v>
      </c>
      <c r="F5" s="1030">
        <v>374248.55457698309</v>
      </c>
      <c r="G5" s="1030">
        <v>38329.197987221305</v>
      </c>
      <c r="H5" s="1030">
        <v>5296026.4136413094</v>
      </c>
      <c r="I5" s="1030">
        <v>314007.25154289178</v>
      </c>
      <c r="J5" s="1030">
        <v>135361.14353898494</v>
      </c>
      <c r="K5" s="1030">
        <v>4500203.1207700474</v>
      </c>
      <c r="L5" s="1030">
        <v>189125.22003257967</v>
      </c>
      <c r="M5" s="1030">
        <v>2135118.2731983047</v>
      </c>
      <c r="N5" s="475">
        <v>2135118.2731982991</v>
      </c>
      <c r="O5" s="204">
        <v>27552461.085644267</v>
      </c>
      <c r="P5" s="201">
        <v>29601068.750782922</v>
      </c>
      <c r="Q5" s="202">
        <v>31523432.875829905</v>
      </c>
    </row>
    <row r="6" spans="1:18" ht="11.25" customHeight="1" x14ac:dyDescent="0.25">
      <c r="A6" s="944" t="s">
        <v>2375</v>
      </c>
      <c r="B6" s="682"/>
      <c r="C6" s="1066">
        <v>619713.90260440938</v>
      </c>
      <c r="D6" s="1030">
        <v>548268.82765005832</v>
      </c>
      <c r="E6" s="1030">
        <v>1014429.2082575756</v>
      </c>
      <c r="F6" s="1030">
        <v>1014429.2082575756</v>
      </c>
      <c r="G6" s="1030">
        <v>674162.6172592917</v>
      </c>
      <c r="H6" s="1030">
        <v>569629.10424566199</v>
      </c>
      <c r="I6" s="1030">
        <v>343634.76310687029</v>
      </c>
      <c r="J6" s="1030">
        <v>932633.499577343</v>
      </c>
      <c r="K6" s="1030">
        <v>1587190.5690261598</v>
      </c>
      <c r="L6" s="1030">
        <v>656509.25933420763</v>
      </c>
      <c r="M6" s="1030">
        <v>6351749.520340424</v>
      </c>
      <c r="N6" s="475">
        <v>6351749.5203404222</v>
      </c>
      <c r="O6" s="204">
        <v>20664100</v>
      </c>
      <c r="P6" s="205">
        <v>21903946</v>
      </c>
      <c r="Q6" s="256">
        <v>23218182.759999998</v>
      </c>
    </row>
    <row r="7" spans="1:18" ht="11.25" customHeight="1" x14ac:dyDescent="0.25">
      <c r="A7" s="944" t="s">
        <v>2376</v>
      </c>
      <c r="B7" s="682"/>
      <c r="C7" s="1066">
        <v>980737.74261507555</v>
      </c>
      <c r="D7" s="1030">
        <v>105482.21357600926</v>
      </c>
      <c r="E7" s="1030">
        <v>1590302.959025407</v>
      </c>
      <c r="F7" s="1030">
        <v>1590302.9590254067</v>
      </c>
      <c r="G7" s="1030">
        <v>945054.88907895563</v>
      </c>
      <c r="H7" s="1030">
        <v>18753.802371518952</v>
      </c>
      <c r="I7" s="1030">
        <v>2233702.6824271581</v>
      </c>
      <c r="J7" s="1030">
        <v>1025422.9407090025</v>
      </c>
      <c r="K7" s="1030">
        <v>1016553.2879008224</v>
      </c>
      <c r="L7" s="1030">
        <v>1189952.4298237683</v>
      </c>
      <c r="M7" s="1030">
        <v>-245130.97693656205</v>
      </c>
      <c r="N7" s="475">
        <v>-245130.97693656199</v>
      </c>
      <c r="O7" s="204">
        <v>10206003.952679999</v>
      </c>
      <c r="P7" s="205">
        <v>10818364.189840801</v>
      </c>
      <c r="Q7" s="256">
        <v>11467466.037231252</v>
      </c>
    </row>
    <row r="8" spans="1:18" ht="11.25" customHeight="1" x14ac:dyDescent="0.25">
      <c r="A8" s="944" t="s">
        <v>2377</v>
      </c>
      <c r="B8" s="682"/>
      <c r="C8" s="1066">
        <v>67456.082117216123</v>
      </c>
      <c r="D8" s="1030">
        <v>11410.511721611723</v>
      </c>
      <c r="E8" s="1030">
        <v>103175.38874358975</v>
      </c>
      <c r="F8" s="1030">
        <v>103175.38874358975</v>
      </c>
      <c r="G8" s="1030">
        <v>-158853.73326739928</v>
      </c>
      <c r="H8" s="1030">
        <v>10168.266666666666</v>
      </c>
      <c r="I8" s="1030">
        <v>70142.881633699639</v>
      </c>
      <c r="J8" s="1030">
        <v>85467.936512820525</v>
      </c>
      <c r="K8" s="1030">
        <v>73584.874974358987</v>
      </c>
      <c r="L8" s="1030">
        <v>72854.074974358969</v>
      </c>
      <c r="M8" s="1030">
        <v>492359.16358974355</v>
      </c>
      <c r="N8" s="475">
        <v>492359.16358974366</v>
      </c>
      <c r="O8" s="204">
        <v>1423300</v>
      </c>
      <c r="P8" s="205">
        <v>1717938</v>
      </c>
      <c r="Q8" s="256">
        <v>1969114.28</v>
      </c>
    </row>
    <row r="9" spans="1:18" ht="11.25" customHeight="1" x14ac:dyDescent="0.25">
      <c r="A9" s="944" t="s">
        <v>2378</v>
      </c>
      <c r="B9" s="682"/>
      <c r="C9" s="1066">
        <v>0</v>
      </c>
      <c r="D9" s="1030">
        <v>0</v>
      </c>
      <c r="E9" s="1030">
        <v>0</v>
      </c>
      <c r="F9" s="1030">
        <v>0</v>
      </c>
      <c r="G9" s="1030">
        <v>0</v>
      </c>
      <c r="H9" s="1030">
        <v>0</v>
      </c>
      <c r="I9" s="1030">
        <v>0</v>
      </c>
      <c r="J9" s="1030">
        <v>0</v>
      </c>
      <c r="K9" s="1030">
        <v>0</v>
      </c>
      <c r="L9" s="1030">
        <v>833.33333333333326</v>
      </c>
      <c r="M9" s="1030">
        <v>4583.333333333333</v>
      </c>
      <c r="N9" s="475">
        <v>4583.3333333333339</v>
      </c>
      <c r="O9" s="204">
        <v>10000</v>
      </c>
      <c r="P9" s="205">
        <v>10600</v>
      </c>
      <c r="Q9" s="256">
        <v>11236</v>
      </c>
    </row>
    <row r="10" spans="1:18" ht="11.25" customHeight="1" x14ac:dyDescent="0.25">
      <c r="A10" s="944" t="s">
        <v>2379</v>
      </c>
      <c r="B10" s="682"/>
      <c r="C10" s="1066">
        <v>7705.8424561403508</v>
      </c>
      <c r="D10" s="1030">
        <v>4354.28947368421</v>
      </c>
      <c r="E10" s="1030">
        <v>9580.9562499999993</v>
      </c>
      <c r="F10" s="1030">
        <v>9580.9562499999993</v>
      </c>
      <c r="G10" s="1030">
        <v>3976.3311403508774</v>
      </c>
      <c r="H10" s="1030">
        <v>1683.1956140350878</v>
      </c>
      <c r="I10" s="1030">
        <v>20070.771929824565</v>
      </c>
      <c r="J10" s="1030">
        <v>2145.13</v>
      </c>
      <c r="K10" s="1030">
        <v>8634.1763157894729</v>
      </c>
      <c r="L10" s="1030">
        <v>15922.675219298246</v>
      </c>
      <c r="M10" s="1030">
        <v>5756672.8376754383</v>
      </c>
      <c r="N10" s="475">
        <v>5756672.8376754392</v>
      </c>
      <c r="O10" s="204">
        <v>11597000</v>
      </c>
      <c r="P10" s="205">
        <v>12233220</v>
      </c>
      <c r="Q10" s="256">
        <v>12940753.200000001</v>
      </c>
    </row>
    <row r="11" spans="1:18" ht="11.25" customHeight="1" x14ac:dyDescent="0.25">
      <c r="A11" s="944" t="s">
        <v>2380</v>
      </c>
      <c r="B11" s="682"/>
      <c r="C11" s="1066">
        <v>0</v>
      </c>
      <c r="D11" s="1030">
        <v>0</v>
      </c>
      <c r="E11" s="1030">
        <v>0</v>
      </c>
      <c r="F11" s="1030">
        <v>0</v>
      </c>
      <c r="G11" s="1030">
        <v>0</v>
      </c>
      <c r="H11" s="1030">
        <v>0</v>
      </c>
      <c r="I11" s="1030">
        <v>0</v>
      </c>
      <c r="J11" s="1030">
        <v>0</v>
      </c>
      <c r="K11" s="1030">
        <v>0</v>
      </c>
      <c r="L11" s="1030">
        <v>0</v>
      </c>
      <c r="M11" s="1030">
        <v>1000</v>
      </c>
      <c r="N11" s="475">
        <v>1000</v>
      </c>
      <c r="O11" s="204">
        <v>2000</v>
      </c>
      <c r="P11" s="205">
        <v>2120</v>
      </c>
      <c r="Q11" s="256">
        <v>2247.2000000000003</v>
      </c>
    </row>
    <row r="12" spans="1:18" ht="11.25" customHeight="1" x14ac:dyDescent="0.25">
      <c r="A12" s="944" t="s">
        <v>2381</v>
      </c>
      <c r="B12" s="682"/>
      <c r="C12" s="1066">
        <v>175</v>
      </c>
      <c r="D12" s="1030">
        <v>0</v>
      </c>
      <c r="E12" s="1030">
        <v>512.5</v>
      </c>
      <c r="F12" s="1030">
        <v>512.5</v>
      </c>
      <c r="G12" s="1030">
        <v>525</v>
      </c>
      <c r="H12" s="1030">
        <v>34.450000000000045</v>
      </c>
      <c r="I12" s="1030">
        <v>32.5</v>
      </c>
      <c r="J12" s="1030">
        <v>0</v>
      </c>
      <c r="K12" s="1030">
        <v>97.5</v>
      </c>
      <c r="L12" s="1030">
        <v>0</v>
      </c>
      <c r="M12" s="1030">
        <v>2055.2750000000001</v>
      </c>
      <c r="N12" s="475">
        <v>2055.2749999999996</v>
      </c>
      <c r="O12" s="204">
        <v>6000</v>
      </c>
      <c r="P12" s="205">
        <v>6360</v>
      </c>
      <c r="Q12" s="256">
        <v>6741.6</v>
      </c>
    </row>
    <row r="13" spans="1:18" ht="11.25" customHeight="1" x14ac:dyDescent="0.25">
      <c r="A13" s="944" t="s">
        <v>2382</v>
      </c>
      <c r="B13" s="682"/>
      <c r="C13" s="1066">
        <v>904865.60118859471</v>
      </c>
      <c r="D13" s="1030">
        <v>13.012270274069984</v>
      </c>
      <c r="E13" s="1030">
        <v>1369033.7128520033</v>
      </c>
      <c r="F13" s="1030">
        <v>1369033.7128520035</v>
      </c>
      <c r="G13" s="1030">
        <v>905598.18062433018</v>
      </c>
      <c r="H13" s="1030">
        <v>52.049081096280929</v>
      </c>
      <c r="I13" s="1030">
        <v>1776798.6704262346</v>
      </c>
      <c r="J13" s="1030">
        <v>823419.42459285946</v>
      </c>
      <c r="K13" s="1030">
        <v>1281575.3899879795</v>
      </c>
      <c r="L13" s="1030">
        <v>892557.16855880595</v>
      </c>
      <c r="M13" s="1030">
        <v>-767657.44913709094</v>
      </c>
      <c r="N13" s="475">
        <v>-767657.44913708977</v>
      </c>
      <c r="O13" s="204">
        <v>7787632.0241599996</v>
      </c>
      <c r="P13" s="205">
        <v>8254889.9456096003</v>
      </c>
      <c r="Q13" s="256">
        <v>8750183.3403461799</v>
      </c>
      <c r="R13" s="338"/>
    </row>
    <row r="14" spans="1:18" ht="11.25" customHeight="1" x14ac:dyDescent="0.25">
      <c r="A14" s="944" t="s">
        <v>2383</v>
      </c>
      <c r="B14" s="682"/>
      <c r="C14" s="1066">
        <v>335852.30854121957</v>
      </c>
      <c r="D14" s="1030">
        <v>3392.8266666666664</v>
      </c>
      <c r="E14" s="1030">
        <v>523987.4770170917</v>
      </c>
      <c r="F14" s="1030">
        <v>523987.47701709159</v>
      </c>
      <c r="G14" s="1030">
        <v>425983.35438222456</v>
      </c>
      <c r="H14" s="1030">
        <v>3095.2266666666669</v>
      </c>
      <c r="I14" s="1030">
        <v>1566960.0368932253</v>
      </c>
      <c r="J14" s="1030">
        <v>445921.43798487278</v>
      </c>
      <c r="K14" s="1030">
        <v>486994.70932059747</v>
      </c>
      <c r="L14" s="1030">
        <v>412006.04039989313</v>
      </c>
      <c r="M14" s="1030">
        <v>-634878.94744477433</v>
      </c>
      <c r="N14" s="475">
        <v>-634878.94744477514</v>
      </c>
      <c r="O14" s="204">
        <v>3458423</v>
      </c>
      <c r="P14" s="205">
        <v>3665928.38</v>
      </c>
      <c r="Q14" s="256">
        <v>3885884.0828</v>
      </c>
      <c r="R14" s="338"/>
    </row>
    <row r="15" spans="1:18" ht="11.25" customHeight="1" x14ac:dyDescent="0.25">
      <c r="A15" s="944" t="s">
        <v>2492</v>
      </c>
      <c r="B15" s="682"/>
      <c r="C15" s="1066">
        <v>0</v>
      </c>
      <c r="D15" s="1030">
        <v>0</v>
      </c>
      <c r="E15" s="1030">
        <v>0</v>
      </c>
      <c r="F15" s="1030">
        <v>0</v>
      </c>
      <c r="G15" s="1030">
        <v>0</v>
      </c>
      <c r="H15" s="1030">
        <v>0</v>
      </c>
      <c r="I15" s="1030">
        <v>0</v>
      </c>
      <c r="J15" s="1030">
        <v>0</v>
      </c>
      <c r="K15" s="1030">
        <v>0</v>
      </c>
      <c r="L15" s="1030">
        <v>0</v>
      </c>
      <c r="M15" s="1030">
        <v>0</v>
      </c>
      <c r="N15" s="475">
        <v>0</v>
      </c>
      <c r="O15" s="204">
        <v>0</v>
      </c>
      <c r="P15" s="205">
        <v>0</v>
      </c>
      <c r="Q15" s="256">
        <v>0</v>
      </c>
      <c r="R15" s="338"/>
    </row>
    <row r="16" spans="1:18" ht="11.25" customHeight="1" x14ac:dyDescent="0.25">
      <c r="A16" s="944" t="s">
        <v>2493</v>
      </c>
      <c r="B16" s="682"/>
      <c r="C16" s="1066">
        <v>0</v>
      </c>
      <c r="D16" s="1030">
        <v>0</v>
      </c>
      <c r="E16" s="1030">
        <v>0</v>
      </c>
      <c r="F16" s="1030">
        <v>0</v>
      </c>
      <c r="G16" s="1030">
        <v>0</v>
      </c>
      <c r="H16" s="1030">
        <v>0</v>
      </c>
      <c r="I16" s="1030">
        <v>0</v>
      </c>
      <c r="J16" s="1030">
        <v>0</v>
      </c>
      <c r="K16" s="1030">
        <v>0</v>
      </c>
      <c r="L16" s="1030">
        <v>0</v>
      </c>
      <c r="M16" s="1030">
        <v>0</v>
      </c>
      <c r="N16" s="475">
        <v>0</v>
      </c>
      <c r="O16" s="204">
        <v>0</v>
      </c>
      <c r="P16" s="205">
        <v>0</v>
      </c>
      <c r="Q16" s="256">
        <v>0</v>
      </c>
      <c r="R16" s="338"/>
    </row>
    <row r="17" spans="1:18" ht="11.25" customHeight="1" x14ac:dyDescent="0.25">
      <c r="A17" s="944" t="s">
        <v>2494</v>
      </c>
      <c r="B17" s="682"/>
      <c r="C17" s="1066">
        <v>0</v>
      </c>
      <c r="D17" s="1030">
        <v>0</v>
      </c>
      <c r="E17" s="1030">
        <v>0</v>
      </c>
      <c r="F17" s="1030">
        <v>0</v>
      </c>
      <c r="G17" s="1030">
        <v>0</v>
      </c>
      <c r="H17" s="1030">
        <v>0</v>
      </c>
      <c r="I17" s="1030">
        <v>0</v>
      </c>
      <c r="J17" s="1030">
        <v>0</v>
      </c>
      <c r="K17" s="1030">
        <v>0</v>
      </c>
      <c r="L17" s="1030">
        <v>0</v>
      </c>
      <c r="M17" s="1030">
        <v>0</v>
      </c>
      <c r="N17" s="475">
        <v>0</v>
      </c>
      <c r="O17" s="204">
        <v>0</v>
      </c>
      <c r="P17" s="205">
        <v>0</v>
      </c>
      <c r="Q17" s="256">
        <v>0</v>
      </c>
      <c r="R17" s="338"/>
    </row>
    <row r="18" spans="1:18" ht="11.25" customHeight="1" x14ac:dyDescent="0.25">
      <c r="A18" s="944" t="s">
        <v>2495</v>
      </c>
      <c r="B18" s="682"/>
      <c r="C18" s="1066">
        <v>0</v>
      </c>
      <c r="D18" s="1030">
        <v>0</v>
      </c>
      <c r="E18" s="1030">
        <v>0</v>
      </c>
      <c r="F18" s="1030">
        <v>0</v>
      </c>
      <c r="G18" s="1030">
        <v>0</v>
      </c>
      <c r="H18" s="1030">
        <v>0</v>
      </c>
      <c r="I18" s="1030">
        <v>0</v>
      </c>
      <c r="J18" s="1030">
        <v>0</v>
      </c>
      <c r="K18" s="1030">
        <v>0</v>
      </c>
      <c r="L18" s="1030">
        <v>0</v>
      </c>
      <c r="M18" s="1030">
        <v>0</v>
      </c>
      <c r="N18" s="475">
        <v>0</v>
      </c>
      <c r="O18" s="204">
        <v>0</v>
      </c>
      <c r="P18" s="205">
        <v>0</v>
      </c>
      <c r="Q18" s="256">
        <v>0</v>
      </c>
      <c r="R18" s="338"/>
    </row>
    <row r="19" spans="1:18" ht="11.25" customHeight="1" x14ac:dyDescent="0.25">
      <c r="A19" s="944" t="s">
        <v>2496</v>
      </c>
      <c r="B19" s="682"/>
      <c r="C19" s="1066">
        <v>0</v>
      </c>
      <c r="D19" s="1030">
        <v>0</v>
      </c>
      <c r="E19" s="1030">
        <v>0</v>
      </c>
      <c r="F19" s="1030">
        <v>0</v>
      </c>
      <c r="G19" s="1030">
        <v>0</v>
      </c>
      <c r="H19" s="1030">
        <v>0</v>
      </c>
      <c r="I19" s="1030">
        <v>0</v>
      </c>
      <c r="J19" s="1030">
        <v>0</v>
      </c>
      <c r="K19" s="1030">
        <v>0</v>
      </c>
      <c r="L19" s="1030">
        <v>0</v>
      </c>
      <c r="M19" s="1030">
        <v>0</v>
      </c>
      <c r="N19" s="475">
        <v>0</v>
      </c>
      <c r="O19" s="204">
        <v>0</v>
      </c>
      <c r="P19" s="205">
        <v>0</v>
      </c>
      <c r="Q19" s="256">
        <v>0</v>
      </c>
      <c r="R19" s="338"/>
    </row>
    <row r="20" spans="1:18" x14ac:dyDescent="0.25">
      <c r="A20" s="257" t="s">
        <v>180</v>
      </c>
      <c r="B20" s="683"/>
      <c r="C20" s="261">
        <v>14928952.786032043</v>
      </c>
      <c r="D20" s="259">
        <v>721150.45742957434</v>
      </c>
      <c r="E20" s="259">
        <v>4985270.7567226496</v>
      </c>
      <c r="F20" s="259">
        <v>4985270.7567226496</v>
      </c>
      <c r="G20" s="259">
        <v>2834775.8372049751</v>
      </c>
      <c r="H20" s="259">
        <v>5899442.5082869548</v>
      </c>
      <c r="I20" s="259">
        <v>6325349.5579599049</v>
      </c>
      <c r="J20" s="259">
        <v>3450371.5129158832</v>
      </c>
      <c r="K20" s="259">
        <v>8954833.628295755</v>
      </c>
      <c r="L20" s="259">
        <v>3429760.2016762458</v>
      </c>
      <c r="M20" s="259">
        <v>13095871.029618816</v>
      </c>
      <c r="N20" s="1237">
        <v>13095871.029618811</v>
      </c>
      <c r="O20" s="214">
        <v>82706920.062484264</v>
      </c>
      <c r="P20" s="211">
        <v>88214435.266233325</v>
      </c>
      <c r="Q20" s="212">
        <v>93775241.376207322</v>
      </c>
      <c r="R20" s="338"/>
    </row>
    <row r="21" spans="1:18" ht="5.0999999999999996" customHeight="1" x14ac:dyDescent="0.25">
      <c r="A21" s="265"/>
      <c r="B21" s="682"/>
      <c r="C21" s="246"/>
      <c r="D21" s="205"/>
      <c r="E21" s="205"/>
      <c r="F21" s="205"/>
      <c r="G21" s="205"/>
      <c r="H21" s="205"/>
      <c r="I21" s="205"/>
      <c r="J21" s="205"/>
      <c r="K21" s="205"/>
      <c r="L21" s="205"/>
      <c r="M21" s="205"/>
      <c r="N21" s="475"/>
      <c r="O21" s="204"/>
      <c r="P21" s="201"/>
      <c r="Q21" s="202"/>
      <c r="R21" s="338"/>
    </row>
    <row r="22" spans="1:18" x14ac:dyDescent="0.25">
      <c r="A22" s="244" t="s">
        <v>2549</v>
      </c>
      <c r="B22" s="684"/>
      <c r="C22" s="246"/>
      <c r="D22" s="205"/>
      <c r="E22" s="205"/>
      <c r="F22" s="205"/>
      <c r="G22" s="205"/>
      <c r="H22" s="205"/>
      <c r="I22" s="205"/>
      <c r="J22" s="205"/>
      <c r="K22" s="205"/>
      <c r="L22" s="205"/>
      <c r="M22" s="205"/>
      <c r="N22" s="475"/>
      <c r="O22" s="204"/>
      <c r="P22" s="201"/>
      <c r="Q22" s="202"/>
      <c r="R22" s="338"/>
    </row>
    <row r="23" spans="1:18" ht="11.25" customHeight="1" x14ac:dyDescent="0.25">
      <c r="A23" s="245" t="s">
        <v>2374</v>
      </c>
      <c r="B23" s="682"/>
      <c r="C23" s="1066">
        <v>1063151.664448238</v>
      </c>
      <c r="D23" s="1030">
        <v>489478.76671863563</v>
      </c>
      <c r="E23" s="1030">
        <v>1027357.5053067202</v>
      </c>
      <c r="F23" s="1030">
        <v>1027357.5053067202</v>
      </c>
      <c r="G23" s="1030">
        <v>1407824.6642994597</v>
      </c>
      <c r="H23" s="1030">
        <v>2098919.0355849345</v>
      </c>
      <c r="I23" s="1030">
        <v>649465.9923930387</v>
      </c>
      <c r="J23" s="1030">
        <v>561471.87230037618</v>
      </c>
      <c r="K23" s="1030">
        <v>533323.21620412369</v>
      </c>
      <c r="L23" s="1030">
        <v>723856.89355599228</v>
      </c>
      <c r="M23" s="1030">
        <v>3386133.5704670385</v>
      </c>
      <c r="N23" s="475">
        <v>3386133.5704670418</v>
      </c>
      <c r="O23" s="204">
        <v>16354474.257052321</v>
      </c>
      <c r="P23" s="201">
        <v>17132742.71247546</v>
      </c>
      <c r="Q23" s="202">
        <v>18277107.275223989</v>
      </c>
      <c r="R23" s="338"/>
    </row>
    <row r="24" spans="1:18" ht="11.25" customHeight="1" x14ac:dyDescent="0.25">
      <c r="A24" s="245" t="s">
        <v>2375</v>
      </c>
      <c r="B24" s="682"/>
      <c r="C24" s="1066">
        <v>691285.46151084569</v>
      </c>
      <c r="D24" s="1030">
        <v>716933.80568130419</v>
      </c>
      <c r="E24" s="1030">
        <v>741772.24814608763</v>
      </c>
      <c r="F24" s="1030">
        <v>741772.24814608775</v>
      </c>
      <c r="G24" s="1030">
        <v>716545.99806285196</v>
      </c>
      <c r="H24" s="1030">
        <v>867602.47585336061</v>
      </c>
      <c r="I24" s="1030">
        <v>785985.55348858982</v>
      </c>
      <c r="J24" s="1030">
        <v>804798.91939138295</v>
      </c>
      <c r="K24" s="1030">
        <v>903502.78498664568</v>
      </c>
      <c r="L24" s="1030">
        <v>854340.63001899119</v>
      </c>
      <c r="M24" s="1030">
        <v>7431257.5212719264</v>
      </c>
      <c r="N24" s="475">
        <v>7431257.5212719291</v>
      </c>
      <c r="O24" s="204">
        <v>22687055.167830002</v>
      </c>
      <c r="P24" s="201">
        <v>24048242.477899801</v>
      </c>
      <c r="Q24" s="202">
        <v>25491101.026573792</v>
      </c>
      <c r="R24" s="338"/>
    </row>
    <row r="25" spans="1:18" ht="11.25" customHeight="1" x14ac:dyDescent="0.25">
      <c r="A25" s="245" t="s">
        <v>2376</v>
      </c>
      <c r="B25" s="682"/>
      <c r="C25" s="1066">
        <v>874933.85580176907</v>
      </c>
      <c r="D25" s="1030">
        <v>1222153.6427085206</v>
      </c>
      <c r="E25" s="1030">
        <v>1452648.3249689017</v>
      </c>
      <c r="F25" s="1030">
        <v>1452648.3249689015</v>
      </c>
      <c r="G25" s="1030">
        <v>819819.39412402757</v>
      </c>
      <c r="H25" s="1030">
        <v>739858.85874202568</v>
      </c>
      <c r="I25" s="1030">
        <v>768217.93732634047</v>
      </c>
      <c r="J25" s="1030">
        <v>300885.67757124046</v>
      </c>
      <c r="K25" s="1030">
        <v>1333726.3840516536</v>
      </c>
      <c r="L25" s="1030">
        <v>874130.2974953464</v>
      </c>
      <c r="M25" s="1030">
        <v>2129993.9855246362</v>
      </c>
      <c r="N25" s="475">
        <v>2129993.9855246376</v>
      </c>
      <c r="O25" s="204">
        <v>14099010.668808</v>
      </c>
      <c r="P25" s="201">
        <v>14944951.30893648</v>
      </c>
      <c r="Q25" s="202">
        <v>15841648.387472671</v>
      </c>
      <c r="R25" s="338"/>
    </row>
    <row r="26" spans="1:18" ht="11.25" customHeight="1" x14ac:dyDescent="0.25">
      <c r="A26" s="245" t="s">
        <v>2377</v>
      </c>
      <c r="B26" s="682"/>
      <c r="C26" s="1066">
        <v>269311.25444193586</v>
      </c>
      <c r="D26" s="1030">
        <v>481013.68365700659</v>
      </c>
      <c r="E26" s="1030">
        <v>265791.35514253064</v>
      </c>
      <c r="F26" s="1030">
        <v>265791.35514253064</v>
      </c>
      <c r="G26" s="1030">
        <v>272691.24415675359</v>
      </c>
      <c r="H26" s="1030">
        <v>219821.724762945</v>
      </c>
      <c r="I26" s="1030">
        <v>228166.92819420554</v>
      </c>
      <c r="J26" s="1030">
        <v>326589.26800229109</v>
      </c>
      <c r="K26" s="1030">
        <v>310512.70990515145</v>
      </c>
      <c r="L26" s="1030">
        <v>283068.0887875043</v>
      </c>
      <c r="M26" s="1030">
        <v>2177449.7051006127</v>
      </c>
      <c r="N26" s="475">
        <v>2177449.7051006127</v>
      </c>
      <c r="O26" s="204">
        <v>7277657.0223940797</v>
      </c>
      <c r="P26" s="201">
        <v>5594316.4437377248</v>
      </c>
      <c r="Q26" s="202">
        <v>5929975.4303619899</v>
      </c>
      <c r="R26" s="338"/>
    </row>
    <row r="27" spans="1:18" ht="11.25" customHeight="1" x14ac:dyDescent="0.25">
      <c r="A27" s="245" t="s">
        <v>2378</v>
      </c>
      <c r="B27" s="682"/>
      <c r="C27" s="1066">
        <v>0</v>
      </c>
      <c r="D27" s="1030">
        <v>0</v>
      </c>
      <c r="E27" s="1030">
        <v>0</v>
      </c>
      <c r="F27" s="1030">
        <v>0</v>
      </c>
      <c r="G27" s="1030">
        <v>0</v>
      </c>
      <c r="H27" s="1030">
        <v>0</v>
      </c>
      <c r="I27" s="1030">
        <v>0</v>
      </c>
      <c r="J27" s="1030">
        <v>0</v>
      </c>
      <c r="K27" s="1030">
        <v>0</v>
      </c>
      <c r="L27" s="1030">
        <v>0</v>
      </c>
      <c r="M27" s="1030">
        <v>0</v>
      </c>
      <c r="N27" s="475">
        <v>0</v>
      </c>
      <c r="O27" s="204">
        <v>0</v>
      </c>
      <c r="P27" s="201">
        <v>0</v>
      </c>
      <c r="Q27" s="202">
        <v>0</v>
      </c>
      <c r="R27" s="338"/>
    </row>
    <row r="28" spans="1:18" ht="11.25" customHeight="1" x14ac:dyDescent="0.25">
      <c r="A28" s="245" t="s">
        <v>2379</v>
      </c>
      <c r="B28" s="682"/>
      <c r="C28" s="1066">
        <v>733991.03535683022</v>
      </c>
      <c r="D28" s="1030">
        <v>775222.84737599164</v>
      </c>
      <c r="E28" s="1030">
        <v>865693.58713765745</v>
      </c>
      <c r="F28" s="1030">
        <v>865693.58713765757</v>
      </c>
      <c r="G28" s="1030">
        <v>765056.5780048715</v>
      </c>
      <c r="H28" s="1030">
        <v>867567.34326393041</v>
      </c>
      <c r="I28" s="1030">
        <v>738827.11842215934</v>
      </c>
      <c r="J28" s="1030">
        <v>760779.2534377554</v>
      </c>
      <c r="K28" s="1030">
        <v>721389.80443728832</v>
      </c>
      <c r="L28" s="1030">
        <v>714575.66925432777</v>
      </c>
      <c r="M28" s="1030">
        <v>2580988.7836177652</v>
      </c>
      <c r="N28" s="475">
        <v>2580988.7836177666</v>
      </c>
      <c r="O28" s="204">
        <v>12970774.391064001</v>
      </c>
      <c r="P28" s="201">
        <v>13749020.85452784</v>
      </c>
      <c r="Q28" s="202">
        <v>14573962.105799511</v>
      </c>
      <c r="R28" s="338"/>
    </row>
    <row r="29" spans="1:18" ht="11.25" customHeight="1" x14ac:dyDescent="0.25">
      <c r="A29" s="245" t="s">
        <v>2380</v>
      </c>
      <c r="B29" s="682"/>
      <c r="C29" s="1066">
        <v>1666.6666666666667</v>
      </c>
      <c r="D29" s="1030">
        <v>12820.018791946308</v>
      </c>
      <c r="E29" s="1030">
        <v>14357.110433578353</v>
      </c>
      <c r="F29" s="1030">
        <v>14357.110433578353</v>
      </c>
      <c r="G29" s="1030">
        <v>6650.3511230425065</v>
      </c>
      <c r="H29" s="1030">
        <v>18179.385586875469</v>
      </c>
      <c r="I29" s="1030">
        <v>13414.682138702461</v>
      </c>
      <c r="J29" s="1030">
        <v>3159.1072035794173</v>
      </c>
      <c r="K29" s="1030">
        <v>3116.427382550336</v>
      </c>
      <c r="L29" s="1030">
        <v>2110.9114988814322</v>
      </c>
      <c r="M29" s="1030">
        <v>122934.11437029934</v>
      </c>
      <c r="N29" s="475">
        <v>122934.11437029939</v>
      </c>
      <c r="O29" s="204">
        <v>335700</v>
      </c>
      <c r="P29" s="201">
        <v>355842</v>
      </c>
      <c r="Q29" s="202">
        <v>377192.52</v>
      </c>
      <c r="R29" s="338"/>
    </row>
    <row r="30" spans="1:18" ht="11.25" customHeight="1" x14ac:dyDescent="0.25">
      <c r="A30" s="245" t="s">
        <v>2381</v>
      </c>
      <c r="B30" s="682"/>
      <c r="C30" s="1066">
        <v>2367.5</v>
      </c>
      <c r="D30" s="1030">
        <v>2367.5</v>
      </c>
      <c r="E30" s="1030">
        <v>2367.5</v>
      </c>
      <c r="F30" s="1030">
        <v>2367.5</v>
      </c>
      <c r="G30" s="1030">
        <v>2367.5</v>
      </c>
      <c r="H30" s="1030">
        <v>2367.5</v>
      </c>
      <c r="I30" s="1030">
        <v>2367.5</v>
      </c>
      <c r="J30" s="1030">
        <v>2367.5</v>
      </c>
      <c r="K30" s="1030">
        <v>2367.5</v>
      </c>
      <c r="L30" s="1030">
        <v>2367.5</v>
      </c>
      <c r="M30" s="1030">
        <v>62367.5</v>
      </c>
      <c r="N30" s="475">
        <v>62367.5</v>
      </c>
      <c r="O30" s="204">
        <v>148410</v>
      </c>
      <c r="P30" s="201">
        <v>157314.6</v>
      </c>
      <c r="Q30" s="202">
        <v>166753.476</v>
      </c>
      <c r="R30" s="338"/>
    </row>
    <row r="31" spans="1:18" ht="11.25" customHeight="1" x14ac:dyDescent="0.25">
      <c r="A31" s="245" t="s">
        <v>2382</v>
      </c>
      <c r="B31" s="682"/>
      <c r="C31" s="1066">
        <v>298328.98068321729</v>
      </c>
      <c r="D31" s="1030">
        <v>346463.45972668135</v>
      </c>
      <c r="E31" s="1030">
        <v>381191.21786758985</v>
      </c>
      <c r="F31" s="1030">
        <v>381191.2178675899</v>
      </c>
      <c r="G31" s="1030">
        <v>1046975.5529634409</v>
      </c>
      <c r="H31" s="1030">
        <v>339128.92752282007</v>
      </c>
      <c r="I31" s="1030">
        <v>1354315.9501867385</v>
      </c>
      <c r="J31" s="1030">
        <v>539754.29360504891</v>
      </c>
      <c r="K31" s="1030">
        <v>554278.05667854589</v>
      </c>
      <c r="L31" s="1030">
        <v>660112.492255016</v>
      </c>
      <c r="M31" s="1030">
        <v>1070191.4922170157</v>
      </c>
      <c r="N31" s="475">
        <v>1070191.4922170164</v>
      </c>
      <c r="O31" s="204">
        <v>8042123.1337907203</v>
      </c>
      <c r="P31" s="201">
        <v>8524650.5218181629</v>
      </c>
      <c r="Q31" s="202">
        <v>9036129.5531272553</v>
      </c>
      <c r="R31" s="338"/>
    </row>
    <row r="32" spans="1:18" ht="11.25" customHeight="1" x14ac:dyDescent="0.25">
      <c r="A32" s="245" t="s">
        <v>2383</v>
      </c>
      <c r="B32" s="682"/>
      <c r="C32" s="1066">
        <v>179982.71197268544</v>
      </c>
      <c r="D32" s="1030">
        <v>243229.49958117027</v>
      </c>
      <c r="E32" s="1030">
        <v>342993.86427852011</v>
      </c>
      <c r="F32" s="1030">
        <v>342993.86427852011</v>
      </c>
      <c r="G32" s="1030">
        <v>794917.98056333803</v>
      </c>
      <c r="H32" s="1030">
        <v>230493.31268575107</v>
      </c>
      <c r="I32" s="1030">
        <v>1279162.5827116373</v>
      </c>
      <c r="J32" s="1030">
        <v>400349.56231330289</v>
      </c>
      <c r="K32" s="1030">
        <v>470602.93772753578</v>
      </c>
      <c r="L32" s="1030">
        <v>507298.70581167768</v>
      </c>
      <c r="M32" s="1030">
        <v>-204721.28926606916</v>
      </c>
      <c r="N32" s="475">
        <v>-204721.28926606942</v>
      </c>
      <c r="O32" s="204">
        <v>4382582.4433919992</v>
      </c>
      <c r="P32" s="201">
        <v>4645537.3899955209</v>
      </c>
      <c r="Q32" s="202">
        <v>4924269.6333952518</v>
      </c>
      <c r="R32" s="338"/>
    </row>
    <row r="33" spans="1:18" ht="11.25" customHeight="1" x14ac:dyDescent="0.25">
      <c r="A33" s="245" t="s">
        <v>2492</v>
      </c>
      <c r="B33" s="682"/>
      <c r="C33" s="1066">
        <v>0</v>
      </c>
      <c r="D33" s="1030">
        <v>0</v>
      </c>
      <c r="E33" s="1030">
        <v>0</v>
      </c>
      <c r="F33" s="1030">
        <v>0</v>
      </c>
      <c r="G33" s="1030">
        <v>0</v>
      </c>
      <c r="H33" s="1030">
        <v>0</v>
      </c>
      <c r="I33" s="1030">
        <v>0</v>
      </c>
      <c r="J33" s="1030">
        <v>0</v>
      </c>
      <c r="K33" s="1030">
        <v>0</v>
      </c>
      <c r="L33" s="1030">
        <v>0</v>
      </c>
      <c r="M33" s="1030">
        <v>0</v>
      </c>
      <c r="N33" s="475">
        <v>0</v>
      </c>
      <c r="O33" s="204">
        <v>0</v>
      </c>
      <c r="P33" s="201">
        <v>0</v>
      </c>
      <c r="Q33" s="202">
        <v>0</v>
      </c>
      <c r="R33" s="338"/>
    </row>
    <row r="34" spans="1:18" ht="11.25" customHeight="1" x14ac:dyDescent="0.25">
      <c r="A34" s="245" t="s">
        <v>2493</v>
      </c>
      <c r="B34" s="682"/>
      <c r="C34" s="1066">
        <v>0</v>
      </c>
      <c r="D34" s="1030">
        <v>0</v>
      </c>
      <c r="E34" s="1030">
        <v>0</v>
      </c>
      <c r="F34" s="1030">
        <v>0</v>
      </c>
      <c r="G34" s="1030">
        <v>0</v>
      </c>
      <c r="H34" s="1030">
        <v>0</v>
      </c>
      <c r="I34" s="1030">
        <v>0</v>
      </c>
      <c r="J34" s="1030">
        <v>0</v>
      </c>
      <c r="K34" s="1030">
        <v>0</v>
      </c>
      <c r="L34" s="1030">
        <v>0</v>
      </c>
      <c r="M34" s="1030">
        <v>0</v>
      </c>
      <c r="N34" s="475">
        <v>0</v>
      </c>
      <c r="O34" s="204">
        <v>0</v>
      </c>
      <c r="P34" s="201">
        <v>0</v>
      </c>
      <c r="Q34" s="202">
        <v>0</v>
      </c>
      <c r="R34" s="338"/>
    </row>
    <row r="35" spans="1:18" ht="11.25" customHeight="1" x14ac:dyDescent="0.25">
      <c r="A35" s="245" t="s">
        <v>2494</v>
      </c>
      <c r="B35" s="682"/>
      <c r="C35" s="1066">
        <v>0</v>
      </c>
      <c r="D35" s="1030">
        <v>0</v>
      </c>
      <c r="E35" s="1030">
        <v>0</v>
      </c>
      <c r="F35" s="1030">
        <v>0</v>
      </c>
      <c r="G35" s="1030">
        <v>0</v>
      </c>
      <c r="H35" s="1030">
        <v>0</v>
      </c>
      <c r="I35" s="1030">
        <v>0</v>
      </c>
      <c r="J35" s="1030">
        <v>0</v>
      </c>
      <c r="K35" s="1030">
        <v>0</v>
      </c>
      <c r="L35" s="1030">
        <v>0</v>
      </c>
      <c r="M35" s="1030">
        <v>0</v>
      </c>
      <c r="N35" s="475">
        <v>0</v>
      </c>
      <c r="O35" s="204">
        <v>0</v>
      </c>
      <c r="P35" s="201">
        <v>0</v>
      </c>
      <c r="Q35" s="202">
        <v>0</v>
      </c>
      <c r="R35" s="338"/>
    </row>
    <row r="36" spans="1:18" ht="11.25" customHeight="1" x14ac:dyDescent="0.25">
      <c r="A36" s="245" t="s">
        <v>2495</v>
      </c>
      <c r="B36" s="682"/>
      <c r="C36" s="1066">
        <v>0</v>
      </c>
      <c r="D36" s="1030">
        <v>0</v>
      </c>
      <c r="E36" s="1030">
        <v>0</v>
      </c>
      <c r="F36" s="1030">
        <v>0</v>
      </c>
      <c r="G36" s="1030">
        <v>0</v>
      </c>
      <c r="H36" s="1030">
        <v>0</v>
      </c>
      <c r="I36" s="1030">
        <v>0</v>
      </c>
      <c r="J36" s="1030">
        <v>0</v>
      </c>
      <c r="K36" s="1030">
        <v>0</v>
      </c>
      <c r="L36" s="1030">
        <v>0</v>
      </c>
      <c r="M36" s="1030">
        <v>0</v>
      </c>
      <c r="N36" s="475">
        <v>0</v>
      </c>
      <c r="O36" s="204">
        <v>0</v>
      </c>
      <c r="P36" s="201">
        <v>0</v>
      </c>
      <c r="Q36" s="202">
        <v>0</v>
      </c>
      <c r="R36" s="338"/>
    </row>
    <row r="37" spans="1:18" ht="11.25" customHeight="1" x14ac:dyDescent="0.25">
      <c r="A37" s="245" t="s">
        <v>2496</v>
      </c>
      <c r="B37" s="682"/>
      <c r="C37" s="1066">
        <v>0</v>
      </c>
      <c r="D37" s="1030">
        <v>0</v>
      </c>
      <c r="E37" s="1030">
        <v>0</v>
      </c>
      <c r="F37" s="1030">
        <v>0</v>
      </c>
      <c r="G37" s="1030">
        <v>0</v>
      </c>
      <c r="H37" s="1030">
        <v>0</v>
      </c>
      <c r="I37" s="1030">
        <v>0</v>
      </c>
      <c r="J37" s="1030">
        <v>0</v>
      </c>
      <c r="K37" s="1030">
        <v>0</v>
      </c>
      <c r="L37" s="1030">
        <v>0</v>
      </c>
      <c r="M37" s="1030">
        <v>0</v>
      </c>
      <c r="N37" s="475">
        <v>0</v>
      </c>
      <c r="O37" s="204">
        <v>0</v>
      </c>
      <c r="P37" s="201">
        <v>0</v>
      </c>
      <c r="Q37" s="202">
        <v>0</v>
      </c>
      <c r="R37" s="338"/>
    </row>
    <row r="38" spans="1:18" x14ac:dyDescent="0.25">
      <c r="A38" s="257" t="s">
        <v>179</v>
      </c>
      <c r="B38" s="683"/>
      <c r="C38" s="261">
        <v>4115019.1308821887</v>
      </c>
      <c r="D38" s="259">
        <v>4289683.2242412567</v>
      </c>
      <c r="E38" s="259">
        <v>5094172.7132815858</v>
      </c>
      <c r="F38" s="259">
        <v>5094172.7132815858</v>
      </c>
      <c r="G38" s="259">
        <v>5832849.263297786</v>
      </c>
      <c r="H38" s="259">
        <v>5383938.5640026433</v>
      </c>
      <c r="I38" s="259">
        <v>5819924.2448614119</v>
      </c>
      <c r="J38" s="259">
        <v>3700155.4538249779</v>
      </c>
      <c r="K38" s="259">
        <v>4832819.8213734943</v>
      </c>
      <c r="L38" s="259">
        <v>4621861.1886777366</v>
      </c>
      <c r="M38" s="259">
        <v>18756595.383303225</v>
      </c>
      <c r="N38" s="1237">
        <v>18756595.383303232</v>
      </c>
      <c r="O38" s="214">
        <v>86297787.08433111</v>
      </c>
      <c r="P38" s="211">
        <v>89152618.309390977</v>
      </c>
      <c r="Q38" s="212">
        <v>94618139.407954454</v>
      </c>
      <c r="R38" s="338"/>
    </row>
    <row r="39" spans="1:18" ht="5.0999999999999996" customHeight="1" x14ac:dyDescent="0.25">
      <c r="A39" s="265"/>
      <c r="B39" s="682"/>
      <c r="C39" s="246"/>
      <c r="D39" s="205"/>
      <c r="E39" s="205"/>
      <c r="F39" s="205"/>
      <c r="G39" s="205"/>
      <c r="H39" s="205"/>
      <c r="I39" s="205"/>
      <c r="J39" s="205"/>
      <c r="K39" s="205"/>
      <c r="L39" s="205"/>
      <c r="M39" s="205"/>
      <c r="N39" s="475"/>
      <c r="O39" s="204"/>
      <c r="P39" s="201"/>
      <c r="Q39" s="202"/>
      <c r="R39" s="338"/>
    </row>
    <row r="40" spans="1:18" x14ac:dyDescent="0.25">
      <c r="A40" s="685" t="s">
        <v>2550</v>
      </c>
      <c r="B40" s="686"/>
      <c r="C40" s="261">
        <v>10813933.655149855</v>
      </c>
      <c r="D40" s="259">
        <v>-3568532.7668116824</v>
      </c>
      <c r="E40" s="259">
        <v>-108901.95655893628</v>
      </c>
      <c r="F40" s="259">
        <v>-108901.95655893628</v>
      </c>
      <c r="G40" s="259">
        <v>-2998073.4260928109</v>
      </c>
      <c r="H40" s="259">
        <v>515503.9442843115</v>
      </c>
      <c r="I40" s="259">
        <v>505425.31309849303</v>
      </c>
      <c r="J40" s="259">
        <v>-249783.94090909464</v>
      </c>
      <c r="K40" s="259">
        <v>4122013.8069222607</v>
      </c>
      <c r="L40" s="259">
        <v>-1192100.9870014908</v>
      </c>
      <c r="M40" s="259">
        <v>-5660724.3536844086</v>
      </c>
      <c r="N40" s="1237">
        <v>-5660724.3536844216</v>
      </c>
      <c r="O40" s="214">
        <v>-3590867.0218468457</v>
      </c>
      <c r="P40" s="211">
        <v>-938183.04315765202</v>
      </c>
      <c r="Q40" s="212">
        <v>-842898.03174713254</v>
      </c>
    </row>
    <row r="41" spans="1:18" ht="5.0999999999999996" customHeight="1" x14ac:dyDescent="0.25">
      <c r="A41" s="265"/>
      <c r="B41" s="682"/>
      <c r="C41" s="246"/>
      <c r="D41" s="205"/>
      <c r="E41" s="205"/>
      <c r="F41" s="205"/>
      <c r="G41" s="205"/>
      <c r="H41" s="205"/>
      <c r="I41" s="205"/>
      <c r="J41" s="205"/>
      <c r="K41" s="205"/>
      <c r="L41" s="205"/>
      <c r="M41" s="205"/>
      <c r="N41" s="475"/>
      <c r="O41" s="204"/>
      <c r="P41" s="201"/>
      <c r="Q41" s="202"/>
    </row>
    <row r="42" spans="1:18" ht="11.25" customHeight="1" x14ac:dyDescent="0.25">
      <c r="A42" s="245" t="s">
        <v>1052</v>
      </c>
      <c r="B42" s="682"/>
      <c r="C42" s="1066">
        <v>0</v>
      </c>
      <c r="D42" s="1030">
        <v>0</v>
      </c>
      <c r="E42" s="1030">
        <v>0</v>
      </c>
      <c r="F42" s="1030">
        <v>0</v>
      </c>
      <c r="G42" s="1030">
        <v>0</v>
      </c>
      <c r="H42" s="1030">
        <v>0</v>
      </c>
      <c r="I42" s="1030">
        <v>0</v>
      </c>
      <c r="J42" s="1030">
        <v>0</v>
      </c>
      <c r="K42" s="1030">
        <v>0</v>
      </c>
      <c r="L42" s="1030">
        <v>0</v>
      </c>
      <c r="M42" s="1030">
        <v>0</v>
      </c>
      <c r="N42" s="475">
        <v>0</v>
      </c>
      <c r="O42" s="204">
        <v>0</v>
      </c>
      <c r="P42" s="201">
        <v>0</v>
      </c>
      <c r="Q42" s="202">
        <v>0</v>
      </c>
    </row>
    <row r="43" spans="1:18" ht="11.25" customHeight="1" x14ac:dyDescent="0.25">
      <c r="A43" s="245" t="s">
        <v>1120</v>
      </c>
      <c r="B43" s="682"/>
      <c r="C43" s="1066">
        <v>0</v>
      </c>
      <c r="D43" s="1030">
        <v>0</v>
      </c>
      <c r="E43" s="1030">
        <v>0</v>
      </c>
      <c r="F43" s="1030">
        <v>0</v>
      </c>
      <c r="G43" s="1030">
        <v>0</v>
      </c>
      <c r="H43" s="1030">
        <v>0</v>
      </c>
      <c r="I43" s="1030">
        <v>0</v>
      </c>
      <c r="J43" s="1030">
        <v>0</v>
      </c>
      <c r="K43" s="1030">
        <v>0</v>
      </c>
      <c r="L43" s="1030">
        <v>0</v>
      </c>
      <c r="M43" s="1030">
        <v>0</v>
      </c>
      <c r="N43" s="475">
        <v>0</v>
      </c>
      <c r="O43" s="204">
        <v>0</v>
      </c>
      <c r="P43" s="201">
        <v>0</v>
      </c>
      <c r="Q43" s="202">
        <v>0</v>
      </c>
    </row>
    <row r="44" spans="1:18" x14ac:dyDescent="0.25">
      <c r="A44" s="459" t="s">
        <v>461</v>
      </c>
      <c r="B44" s="689"/>
      <c r="C44" s="1066">
        <v>0</v>
      </c>
      <c r="D44" s="1030">
        <v>0</v>
      </c>
      <c r="E44" s="1030">
        <v>0</v>
      </c>
      <c r="F44" s="1030">
        <v>0</v>
      </c>
      <c r="G44" s="1030">
        <v>0</v>
      </c>
      <c r="H44" s="1030">
        <v>0</v>
      </c>
      <c r="I44" s="1030">
        <v>0</v>
      </c>
      <c r="J44" s="1030">
        <v>0</v>
      </c>
      <c r="K44" s="1030">
        <v>0</v>
      </c>
      <c r="L44" s="1030">
        <v>0</v>
      </c>
      <c r="M44" s="1030">
        <v>0</v>
      </c>
      <c r="N44" s="475">
        <v>0</v>
      </c>
      <c r="O44" s="204">
        <v>0</v>
      </c>
      <c r="P44" s="201">
        <v>0</v>
      </c>
      <c r="Q44" s="202">
        <v>0</v>
      </c>
    </row>
    <row r="45" spans="1:18" x14ac:dyDescent="0.25">
      <c r="A45" s="673" t="s">
        <v>1725</v>
      </c>
      <c r="B45" s="690">
        <v>1</v>
      </c>
      <c r="C45" s="321">
        <v>10813933.655149855</v>
      </c>
      <c r="D45" s="224">
        <v>-3568532.7668116824</v>
      </c>
      <c r="E45" s="224">
        <v>-108901.95655893628</v>
      </c>
      <c r="F45" s="224">
        <v>-108901.95655893628</v>
      </c>
      <c r="G45" s="224">
        <v>-2998073.4260928109</v>
      </c>
      <c r="H45" s="224">
        <v>515503.9442843115</v>
      </c>
      <c r="I45" s="224">
        <v>505425.31309849303</v>
      </c>
      <c r="J45" s="224">
        <v>-249783.94090909464</v>
      </c>
      <c r="K45" s="224">
        <v>4122013.8069222607</v>
      </c>
      <c r="L45" s="224">
        <v>-1192100.9870014908</v>
      </c>
      <c r="M45" s="224">
        <v>-5660724.3536844086</v>
      </c>
      <c r="N45" s="660">
        <v>-5660724.3536844216</v>
      </c>
      <c r="O45" s="322">
        <v>-3590867.0218468457</v>
      </c>
      <c r="P45" s="224">
        <v>-938183.04315765202</v>
      </c>
      <c r="Q45" s="320">
        <v>-842898.03174713254</v>
      </c>
    </row>
    <row r="46" spans="1:18" s="625" customFormat="1" x14ac:dyDescent="0.25">
      <c r="A46" s="1141" t="s">
        <v>986</v>
      </c>
      <c r="B46" s="871"/>
      <c r="C46" s="839"/>
      <c r="D46" s="839"/>
      <c r="E46" s="839"/>
      <c r="F46" s="839"/>
      <c r="G46" s="839"/>
      <c r="H46" s="839"/>
      <c r="I46" s="839"/>
      <c r="J46" s="839"/>
      <c r="K46" s="839"/>
      <c r="L46" s="839"/>
      <c r="M46" s="839"/>
      <c r="N46" s="839"/>
      <c r="O46" s="839"/>
      <c r="P46" s="839"/>
      <c r="Q46" s="839"/>
    </row>
    <row r="47" spans="1:18" s="625" customFormat="1" x14ac:dyDescent="0.25">
      <c r="A47" s="1139" t="s">
        <v>1615</v>
      </c>
      <c r="C47" s="873"/>
      <c r="D47" s="873"/>
      <c r="E47" s="873"/>
      <c r="F47" s="873"/>
      <c r="G47" s="873"/>
      <c r="H47" s="873"/>
      <c r="I47" s="873"/>
      <c r="J47" s="873"/>
      <c r="K47" s="873"/>
      <c r="L47" s="873"/>
      <c r="M47" s="873"/>
      <c r="N47" s="873"/>
    </row>
    <row r="48" spans="1:18" x14ac:dyDescent="0.25">
      <c r="A48" s="392" t="s">
        <v>1528</v>
      </c>
      <c r="B48" s="392"/>
      <c r="C48" s="1916">
        <v>0</v>
      </c>
      <c r="D48" s="1916">
        <v>0</v>
      </c>
      <c r="E48" s="1916">
        <v>0</v>
      </c>
      <c r="F48" s="1916">
        <v>0</v>
      </c>
      <c r="G48" s="1916">
        <v>0</v>
      </c>
      <c r="H48" s="1916">
        <v>-2.7939677238464355E-9</v>
      </c>
      <c r="I48" s="1916">
        <v>0</v>
      </c>
      <c r="J48" s="1916">
        <v>0</v>
      </c>
      <c r="K48" s="1916">
        <v>0</v>
      </c>
      <c r="L48" s="1916">
        <v>0</v>
      </c>
      <c r="M48" s="1916">
        <v>0</v>
      </c>
      <c r="N48" s="1916">
        <v>0</v>
      </c>
      <c r="O48" s="692">
        <v>1.4901161193847656E-8</v>
      </c>
      <c r="P48" s="692">
        <v>1.4901161193847656E-8</v>
      </c>
      <c r="Q48" s="692">
        <v>0</v>
      </c>
    </row>
    <row r="50" spans="15:17" x14ac:dyDescent="0.25">
      <c r="O50" s="330">
        <v>0</v>
      </c>
      <c r="P50" s="330">
        <v>0</v>
      </c>
      <c r="Q50" s="330">
        <v>0</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enableFormatConditionsCalculation="0">
    <tabColor indexed="42"/>
    <pageSetUpPr fitToPage="1"/>
  </sheetPr>
  <dimension ref="A1:R56"/>
  <sheetViews>
    <sheetView showGridLines="0" tabSelected="1" workbookViewId="0">
      <pane xSplit="2" ySplit="3" topLeftCell="C36"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14" width="8.28515625" style="338" customWidth="1"/>
    <col min="15" max="17" width="9.28515625" style="148" customWidth="1"/>
    <col min="18" max="16384" width="9.140625" style="148"/>
  </cols>
  <sheetData>
    <row r="1" spans="1:18" ht="13.5" customHeight="1" x14ac:dyDescent="0.25">
      <c r="A1" s="146" t="s">
        <v>2551</v>
      </c>
      <c r="B1" s="146"/>
      <c r="C1" s="1997"/>
      <c r="D1" s="1997"/>
      <c r="E1" s="1997"/>
      <c r="F1" s="1997"/>
      <c r="G1" s="1997"/>
      <c r="H1" s="1997"/>
      <c r="I1" s="1997"/>
      <c r="J1" s="1997"/>
      <c r="K1" s="1997"/>
      <c r="L1" s="1997"/>
      <c r="M1" s="1997"/>
      <c r="N1" s="1997"/>
      <c r="O1" s="146"/>
      <c r="P1" s="146"/>
      <c r="Q1" s="146"/>
    </row>
    <row r="2" spans="1:18" ht="28.5"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8" ht="25.5" x14ac:dyDescent="0.25">
      <c r="A3" s="793" t="s">
        <v>667</v>
      </c>
      <c r="B3" s="798"/>
      <c r="C3" s="2004" t="s">
        <v>725</v>
      </c>
      <c r="D3" s="741" t="s">
        <v>1416</v>
      </c>
      <c r="E3" s="741" t="s">
        <v>1417</v>
      </c>
      <c r="F3" s="741" t="s">
        <v>1418</v>
      </c>
      <c r="G3" s="741" t="s">
        <v>706</v>
      </c>
      <c r="H3" s="741" t="s">
        <v>707</v>
      </c>
      <c r="I3" s="741" t="s">
        <v>708</v>
      </c>
      <c r="J3" s="741" t="s">
        <v>709</v>
      </c>
      <c r="K3" s="741" t="s">
        <v>710</v>
      </c>
      <c r="L3" s="741" t="s">
        <v>711</v>
      </c>
      <c r="M3" s="741" t="s">
        <v>712</v>
      </c>
      <c r="N3" s="354" t="s">
        <v>713</v>
      </c>
      <c r="O3" s="283" t="s">
        <v>2483</v>
      </c>
      <c r="P3" s="353" t="s">
        <v>2484</v>
      </c>
      <c r="Q3" s="354" t="s">
        <v>2485</v>
      </c>
    </row>
    <row r="4" spans="1:18" x14ac:dyDescent="0.25">
      <c r="A4" s="244" t="s">
        <v>432</v>
      </c>
      <c r="B4" s="684"/>
      <c r="C4" s="778"/>
      <c r="D4" s="776"/>
      <c r="E4" s="776"/>
      <c r="F4" s="776"/>
      <c r="G4" s="776"/>
      <c r="H4" s="776"/>
      <c r="I4" s="776"/>
      <c r="J4" s="776"/>
      <c r="K4" s="776"/>
      <c r="L4" s="776"/>
      <c r="M4" s="776"/>
      <c r="N4" s="779"/>
      <c r="O4" s="298"/>
      <c r="P4" s="296"/>
      <c r="Q4" s="299"/>
      <c r="R4" s="338"/>
    </row>
    <row r="5" spans="1:18" ht="11.25" customHeight="1" x14ac:dyDescent="0.25">
      <c r="A5" s="1015" t="s">
        <v>1134</v>
      </c>
      <c r="B5" s="682"/>
      <c r="C5" s="905">
        <v>12094988.690934299</v>
      </c>
      <c r="D5" s="903">
        <v>61757.583946728031</v>
      </c>
      <c r="E5" s="903">
        <v>484727.32957057277</v>
      </c>
      <c r="F5" s="903">
        <v>484727.32957057282</v>
      </c>
      <c r="G5" s="903">
        <v>-119916.72297248567</v>
      </c>
      <c r="H5" s="903">
        <v>5306636.8010772066</v>
      </c>
      <c r="I5" s="903">
        <v>384505.09086889913</v>
      </c>
      <c r="J5" s="903">
        <v>221097.55312872853</v>
      </c>
      <c r="K5" s="903">
        <v>4614920.0628597904</v>
      </c>
      <c r="L5" s="903">
        <v>262113.23731463094</v>
      </c>
      <c r="M5" s="903">
        <v>2610402.0646726638</v>
      </c>
      <c r="N5" s="313">
        <v>2610402.0646726675</v>
      </c>
      <c r="O5" s="218">
        <v>29016361.085644267</v>
      </c>
      <c r="P5" s="216">
        <v>31362042.750782926</v>
      </c>
      <c r="Q5" s="217">
        <v>33538165.315829903</v>
      </c>
      <c r="R5" s="338"/>
    </row>
    <row r="6" spans="1:18" ht="11.25" customHeight="1" x14ac:dyDescent="0.25">
      <c r="A6" s="1016" t="s">
        <v>2421</v>
      </c>
      <c r="B6" s="682"/>
      <c r="C6" s="1066">
        <v>433.76600000000008</v>
      </c>
      <c r="D6" s="1030">
        <v>0</v>
      </c>
      <c r="E6" s="1030">
        <v>650.649</v>
      </c>
      <c r="F6" s="1030">
        <v>650.64900000000011</v>
      </c>
      <c r="G6" s="1030">
        <v>433.76599999999985</v>
      </c>
      <c r="H6" s="1030">
        <v>0</v>
      </c>
      <c r="I6" s="1030">
        <v>867.5319999999997</v>
      </c>
      <c r="J6" s="1030">
        <v>433.76600000000053</v>
      </c>
      <c r="K6" s="1030">
        <v>433.76599999999985</v>
      </c>
      <c r="L6" s="1030">
        <v>433.76599999999985</v>
      </c>
      <c r="M6" s="1030">
        <v>514481.17</v>
      </c>
      <c r="N6" s="256">
        <v>514481.17000000004</v>
      </c>
      <c r="O6" s="203">
        <v>1033300</v>
      </c>
      <c r="P6" s="205">
        <v>1304538</v>
      </c>
      <c r="Q6" s="256">
        <v>1530910.28</v>
      </c>
      <c r="R6" s="338"/>
    </row>
    <row r="7" spans="1:18" ht="11.25" customHeight="1" x14ac:dyDescent="0.25">
      <c r="A7" s="1016" t="s">
        <v>2420</v>
      </c>
      <c r="B7" s="682"/>
      <c r="C7" s="2091">
        <v>12012446.306509389</v>
      </c>
      <c r="D7" s="2089">
        <v>48228.776071270157</v>
      </c>
      <c r="E7" s="2089">
        <v>374248.55457698304</v>
      </c>
      <c r="F7" s="2089">
        <v>374248.55457698309</v>
      </c>
      <c r="G7" s="2089">
        <v>38329.197987221305</v>
      </c>
      <c r="H7" s="2089">
        <v>5296026.4136413094</v>
      </c>
      <c r="I7" s="2089">
        <v>314007.25154289178</v>
      </c>
      <c r="J7" s="2089">
        <v>135361.14353898494</v>
      </c>
      <c r="K7" s="2089">
        <v>4500203.1207700474</v>
      </c>
      <c r="L7" s="2089">
        <v>189125.22003257967</v>
      </c>
      <c r="M7" s="2089">
        <v>2135118.2731983047</v>
      </c>
      <c r="N7" s="256">
        <v>2135118.2731982991</v>
      </c>
      <c r="O7" s="203">
        <v>27552461.085644267</v>
      </c>
      <c r="P7" s="205">
        <v>29601068.750782926</v>
      </c>
      <c r="Q7" s="256">
        <v>31523432.875829902</v>
      </c>
      <c r="R7" s="338"/>
    </row>
    <row r="8" spans="1:18" ht="11.25" customHeight="1" x14ac:dyDescent="0.25">
      <c r="A8" s="1016" t="s">
        <v>144</v>
      </c>
      <c r="B8" s="682"/>
      <c r="C8" s="1066">
        <v>82108.618424908447</v>
      </c>
      <c r="D8" s="1030">
        <v>13528.807875457876</v>
      </c>
      <c r="E8" s="1030">
        <v>109828.12599358974</v>
      </c>
      <c r="F8" s="1030">
        <v>109828.12599358974</v>
      </c>
      <c r="G8" s="1030">
        <v>-158679.68695970697</v>
      </c>
      <c r="H8" s="1030">
        <v>10610.387435897435</v>
      </c>
      <c r="I8" s="1030">
        <v>69630.307326007329</v>
      </c>
      <c r="J8" s="1030">
        <v>85302.643589743602</v>
      </c>
      <c r="K8" s="1030">
        <v>114283.17608974362</v>
      </c>
      <c r="L8" s="1030">
        <v>72554.251282051278</v>
      </c>
      <c r="M8" s="1030">
        <v>-39197.378525641041</v>
      </c>
      <c r="N8" s="256">
        <v>-39197.37852564099</v>
      </c>
      <c r="O8" s="203">
        <v>430600</v>
      </c>
      <c r="P8" s="205">
        <v>456436</v>
      </c>
      <c r="Q8" s="256">
        <v>483822.16000000003</v>
      </c>
      <c r="R8" s="338"/>
    </row>
    <row r="9" spans="1:18" ht="11.25" customHeight="1" x14ac:dyDescent="0.25">
      <c r="A9" s="1015" t="s">
        <v>145</v>
      </c>
      <c r="B9" s="682"/>
      <c r="C9" s="905">
        <v>1250.6666666666667</v>
      </c>
      <c r="D9" s="903">
        <v>1918.9166666666667</v>
      </c>
      <c r="E9" s="903">
        <v>1799.75</v>
      </c>
      <c r="F9" s="903">
        <v>1799.75</v>
      </c>
      <c r="G9" s="903">
        <v>1757.2083333333335</v>
      </c>
      <c r="H9" s="903">
        <v>750.2833333333333</v>
      </c>
      <c r="I9" s="903">
        <v>1693.7083333333335</v>
      </c>
      <c r="J9" s="903">
        <v>897.48333333333289</v>
      </c>
      <c r="K9" s="903">
        <v>1050.1666666666667</v>
      </c>
      <c r="L9" s="903">
        <v>2138.75</v>
      </c>
      <c r="M9" s="903">
        <v>385221.65833333333</v>
      </c>
      <c r="N9" s="313">
        <v>385221.65833333333</v>
      </c>
      <c r="O9" s="218">
        <v>785500</v>
      </c>
      <c r="P9" s="357">
        <v>832630</v>
      </c>
      <c r="Q9" s="313">
        <v>882587.79999999993</v>
      </c>
      <c r="R9" s="338"/>
    </row>
    <row r="10" spans="1:18" ht="11.25" customHeight="1" x14ac:dyDescent="0.25">
      <c r="A10" s="1016" t="s">
        <v>2419</v>
      </c>
      <c r="B10" s="682"/>
      <c r="C10" s="1066">
        <v>1075.6666666666667</v>
      </c>
      <c r="D10" s="1030">
        <v>1918.9166666666667</v>
      </c>
      <c r="E10" s="1030">
        <v>1287.25</v>
      </c>
      <c r="F10" s="1030">
        <v>1287.25</v>
      </c>
      <c r="G10" s="1030">
        <v>1232.2083333333335</v>
      </c>
      <c r="H10" s="1030">
        <v>715.83333333333326</v>
      </c>
      <c r="I10" s="1030">
        <v>1661.2083333333335</v>
      </c>
      <c r="J10" s="1030">
        <v>897.48333333333289</v>
      </c>
      <c r="K10" s="1030">
        <v>952.66666666666674</v>
      </c>
      <c r="L10" s="1030">
        <v>1305.4166666666667</v>
      </c>
      <c r="M10" s="1030">
        <v>377583.05</v>
      </c>
      <c r="N10" s="256">
        <v>377583.05</v>
      </c>
      <c r="O10" s="203">
        <v>767500</v>
      </c>
      <c r="P10" s="205">
        <v>813550</v>
      </c>
      <c r="Q10" s="256">
        <v>862363</v>
      </c>
      <c r="R10" s="338"/>
    </row>
    <row r="11" spans="1:18" ht="11.25" customHeight="1" x14ac:dyDescent="0.25">
      <c r="A11" s="1016" t="s">
        <v>2422</v>
      </c>
      <c r="B11" s="682"/>
      <c r="C11" s="1066">
        <v>175</v>
      </c>
      <c r="D11" s="1030">
        <v>0</v>
      </c>
      <c r="E11" s="1030">
        <v>512.5</v>
      </c>
      <c r="F11" s="1030">
        <v>512.5</v>
      </c>
      <c r="G11" s="1030">
        <v>525</v>
      </c>
      <c r="H11" s="1030">
        <v>34.450000000000045</v>
      </c>
      <c r="I11" s="1030">
        <v>32.5</v>
      </c>
      <c r="J11" s="1030">
        <v>0</v>
      </c>
      <c r="K11" s="1030">
        <v>97.5</v>
      </c>
      <c r="L11" s="1030">
        <v>0</v>
      </c>
      <c r="M11" s="1030">
        <v>2055.2750000000001</v>
      </c>
      <c r="N11" s="256">
        <v>2055.2749999999996</v>
      </c>
      <c r="O11" s="203">
        <v>6000</v>
      </c>
      <c r="P11" s="205">
        <v>6360</v>
      </c>
      <c r="Q11" s="256">
        <v>6741.6</v>
      </c>
      <c r="R11" s="338"/>
    </row>
    <row r="12" spans="1:18" ht="11.25" customHeight="1" x14ac:dyDescent="0.25">
      <c r="A12" s="1016" t="s">
        <v>148</v>
      </c>
      <c r="B12" s="682"/>
      <c r="C12" s="1066">
        <v>0</v>
      </c>
      <c r="D12" s="1030">
        <v>0</v>
      </c>
      <c r="E12" s="1030">
        <v>0</v>
      </c>
      <c r="F12" s="1030">
        <v>0</v>
      </c>
      <c r="G12" s="1030">
        <v>0</v>
      </c>
      <c r="H12" s="1030">
        <v>0</v>
      </c>
      <c r="I12" s="1030">
        <v>0</v>
      </c>
      <c r="J12" s="1030">
        <v>0</v>
      </c>
      <c r="K12" s="1030">
        <v>0</v>
      </c>
      <c r="L12" s="1030">
        <v>0</v>
      </c>
      <c r="M12" s="1030">
        <v>1000</v>
      </c>
      <c r="N12" s="256">
        <v>1000</v>
      </c>
      <c r="O12" s="203">
        <v>2000</v>
      </c>
      <c r="P12" s="205">
        <v>2120</v>
      </c>
      <c r="Q12" s="256">
        <v>2247.2000000000003</v>
      </c>
      <c r="R12" s="338"/>
    </row>
    <row r="13" spans="1:18" ht="11.25" customHeight="1" x14ac:dyDescent="0.25">
      <c r="A13" s="1016" t="s">
        <v>1722</v>
      </c>
      <c r="B13" s="682"/>
      <c r="C13" s="1066">
        <v>0</v>
      </c>
      <c r="D13" s="1030">
        <v>0</v>
      </c>
      <c r="E13" s="1030">
        <v>0</v>
      </c>
      <c r="F13" s="1030">
        <v>0</v>
      </c>
      <c r="G13" s="1030">
        <v>0</v>
      </c>
      <c r="H13" s="1030">
        <v>0</v>
      </c>
      <c r="I13" s="1030">
        <v>0</v>
      </c>
      <c r="J13" s="1030">
        <v>0</v>
      </c>
      <c r="K13" s="1030">
        <v>0</v>
      </c>
      <c r="L13" s="1030">
        <v>0</v>
      </c>
      <c r="M13" s="1030">
        <v>0</v>
      </c>
      <c r="N13" s="256">
        <v>0</v>
      </c>
      <c r="O13" s="203">
        <v>0</v>
      </c>
      <c r="P13" s="205">
        <v>0</v>
      </c>
      <c r="Q13" s="256">
        <v>0</v>
      </c>
      <c r="R13" s="338"/>
    </row>
    <row r="14" spans="1:18" ht="11.25" customHeight="1" x14ac:dyDescent="0.25">
      <c r="A14" s="1016" t="s">
        <v>1802</v>
      </c>
      <c r="B14" s="682"/>
      <c r="C14" s="1066">
        <v>0</v>
      </c>
      <c r="D14" s="1030">
        <v>0</v>
      </c>
      <c r="E14" s="1030">
        <v>0</v>
      </c>
      <c r="F14" s="1030">
        <v>0</v>
      </c>
      <c r="G14" s="1030">
        <v>0</v>
      </c>
      <c r="H14" s="1030">
        <v>0</v>
      </c>
      <c r="I14" s="1030">
        <v>0</v>
      </c>
      <c r="J14" s="1030">
        <v>0</v>
      </c>
      <c r="K14" s="1030">
        <v>0</v>
      </c>
      <c r="L14" s="1030">
        <v>833.33333333333326</v>
      </c>
      <c r="M14" s="1030">
        <v>4583.333333333333</v>
      </c>
      <c r="N14" s="256">
        <v>4583.3333333333339</v>
      </c>
      <c r="O14" s="203">
        <v>10000</v>
      </c>
      <c r="P14" s="205">
        <v>10600</v>
      </c>
      <c r="Q14" s="256">
        <v>11236</v>
      </c>
      <c r="R14" s="338"/>
    </row>
    <row r="15" spans="1:18" ht="11.25" customHeight="1" x14ac:dyDescent="0.25">
      <c r="A15" s="1015" t="s">
        <v>149</v>
      </c>
      <c r="B15" s="682"/>
      <c r="C15" s="905">
        <v>594591.10941952409</v>
      </c>
      <c r="D15" s="903">
        <v>531919.23763656314</v>
      </c>
      <c r="E15" s="903">
        <v>998752.86159090896</v>
      </c>
      <c r="F15" s="903">
        <v>998752.86159090896</v>
      </c>
      <c r="G15" s="903">
        <v>659632.26109195035</v>
      </c>
      <c r="H15" s="903">
        <v>553487.67909046635</v>
      </c>
      <c r="I15" s="903">
        <v>345022.70234438713</v>
      </c>
      <c r="J15" s="903">
        <v>916946.00650041993</v>
      </c>
      <c r="K15" s="903">
        <v>1537073.3448932313</v>
      </c>
      <c r="L15" s="903">
        <v>654325.90891248034</v>
      </c>
      <c r="M15" s="903">
        <v>11666248.013464581</v>
      </c>
      <c r="N15" s="313">
        <v>11666248.013464577</v>
      </c>
      <c r="O15" s="218">
        <v>31123000</v>
      </c>
      <c r="P15" s="357">
        <v>32930780</v>
      </c>
      <c r="Q15" s="313">
        <v>34880166.799999997</v>
      </c>
      <c r="R15" s="338"/>
    </row>
    <row r="16" spans="1:18" ht="11.25" customHeight="1" x14ac:dyDescent="0.25">
      <c r="A16" s="1016" t="s">
        <v>2418</v>
      </c>
      <c r="B16" s="682"/>
      <c r="C16" s="1066">
        <v>7705.8424561403508</v>
      </c>
      <c r="D16" s="1030">
        <v>4354.28947368421</v>
      </c>
      <c r="E16" s="1030">
        <v>9580.9562499999993</v>
      </c>
      <c r="F16" s="1030">
        <v>9580.9562499999993</v>
      </c>
      <c r="G16" s="1030">
        <v>3976.3311403508774</v>
      </c>
      <c r="H16" s="1030">
        <v>1683.1956140350878</v>
      </c>
      <c r="I16" s="1030">
        <v>20070.771929824565</v>
      </c>
      <c r="J16" s="1030">
        <v>2145.13</v>
      </c>
      <c r="K16" s="1030">
        <v>8634.1763157894729</v>
      </c>
      <c r="L16" s="1030">
        <v>15922.675219298246</v>
      </c>
      <c r="M16" s="1030">
        <v>5756672.8376754383</v>
      </c>
      <c r="N16" s="256">
        <v>5754172.8376754392</v>
      </c>
      <c r="O16" s="203">
        <v>11594500</v>
      </c>
      <c r="P16" s="205">
        <v>12230570</v>
      </c>
      <c r="Q16" s="256">
        <v>12937944.200000001</v>
      </c>
      <c r="R16" s="338"/>
    </row>
    <row r="17" spans="1:18" ht="11.25" customHeight="1" x14ac:dyDescent="0.25">
      <c r="A17" s="1016" t="s">
        <v>151</v>
      </c>
      <c r="B17" s="682"/>
      <c r="C17" s="1066">
        <v>586885.26696338376</v>
      </c>
      <c r="D17" s="1030">
        <v>527564.94816287898</v>
      </c>
      <c r="E17" s="1030">
        <v>989171.90534090891</v>
      </c>
      <c r="F17" s="1030">
        <v>989171.90534090891</v>
      </c>
      <c r="G17" s="1030">
        <v>655655.92995159945</v>
      </c>
      <c r="H17" s="1030">
        <v>551804.48347643123</v>
      </c>
      <c r="I17" s="1030">
        <v>324951.93041456258</v>
      </c>
      <c r="J17" s="1030">
        <v>914800.87650041992</v>
      </c>
      <c r="K17" s="1030">
        <v>1528439.1685774417</v>
      </c>
      <c r="L17" s="1030">
        <v>638403.23369318212</v>
      </c>
      <c r="M17" s="1030">
        <v>5909575.175789142</v>
      </c>
      <c r="N17" s="256">
        <v>5912075.1757891402</v>
      </c>
      <c r="O17" s="203">
        <v>19528500</v>
      </c>
      <c r="P17" s="205">
        <v>20700210</v>
      </c>
      <c r="Q17" s="256">
        <v>21942222.599999998</v>
      </c>
      <c r="R17" s="338"/>
    </row>
    <row r="18" spans="1:18" ht="11.25" customHeight="1" x14ac:dyDescent="0.25">
      <c r="A18" s="1016" t="s">
        <v>152</v>
      </c>
      <c r="B18" s="682"/>
      <c r="C18" s="1066">
        <v>0</v>
      </c>
      <c r="D18" s="1030">
        <v>0</v>
      </c>
      <c r="E18" s="1030">
        <v>0</v>
      </c>
      <c r="F18" s="1030">
        <v>0</v>
      </c>
      <c r="G18" s="1030">
        <v>0</v>
      </c>
      <c r="H18" s="1030">
        <v>0</v>
      </c>
      <c r="I18" s="1030">
        <v>0</v>
      </c>
      <c r="J18" s="1030">
        <v>0</v>
      </c>
      <c r="K18" s="1030">
        <v>0</v>
      </c>
      <c r="L18" s="1030">
        <v>0</v>
      </c>
      <c r="M18" s="1030">
        <v>0</v>
      </c>
      <c r="N18" s="256">
        <v>0</v>
      </c>
      <c r="O18" s="203">
        <v>0</v>
      </c>
      <c r="P18" s="205">
        <v>0</v>
      </c>
      <c r="Q18" s="256">
        <v>0</v>
      </c>
      <c r="R18" s="338"/>
    </row>
    <row r="19" spans="1:18" ht="11.25" customHeight="1" x14ac:dyDescent="0.25">
      <c r="A19" s="1015" t="s">
        <v>153</v>
      </c>
      <c r="B19" s="682"/>
      <c r="C19" s="905">
        <v>2221455.6523448899</v>
      </c>
      <c r="D19" s="903">
        <v>108888.05251294999</v>
      </c>
      <c r="E19" s="903">
        <v>3483324.1488945019</v>
      </c>
      <c r="F19" s="903">
        <v>3483324.1488945019</v>
      </c>
      <c r="G19" s="903">
        <v>2276636.4240855104</v>
      </c>
      <c r="H19" s="903">
        <v>21901.078119281898</v>
      </c>
      <c r="I19" s="903">
        <v>5577461.3897466185</v>
      </c>
      <c r="J19" s="903">
        <v>2294763.803286735</v>
      </c>
      <c r="K19" s="903">
        <v>2785123.3872093996</v>
      </c>
      <c r="L19" s="903">
        <v>2494515.6387824677</v>
      </c>
      <c r="M19" s="903">
        <v>-1647667.3735184271</v>
      </c>
      <c r="N19" s="313">
        <v>-1647667.3735184297</v>
      </c>
      <c r="O19" s="218">
        <v>21452058.976840001</v>
      </c>
      <c r="P19" s="357">
        <v>22739182.515450403</v>
      </c>
      <c r="Q19" s="313">
        <v>24103533.460377432</v>
      </c>
      <c r="R19" s="338"/>
    </row>
    <row r="20" spans="1:18" ht="11.25" customHeight="1" x14ac:dyDescent="0.25">
      <c r="A20" s="1016" t="s">
        <v>654</v>
      </c>
      <c r="B20" s="682"/>
      <c r="C20" s="1066">
        <v>980737.74261507555</v>
      </c>
      <c r="D20" s="1030">
        <v>105482.21357600926</v>
      </c>
      <c r="E20" s="1030">
        <v>1590302.959025407</v>
      </c>
      <c r="F20" s="1030">
        <v>1590302.9590254067</v>
      </c>
      <c r="G20" s="1030">
        <v>945054.88907895563</v>
      </c>
      <c r="H20" s="1030">
        <v>18753.802371518952</v>
      </c>
      <c r="I20" s="1030">
        <v>2233702.6824271581</v>
      </c>
      <c r="J20" s="1030">
        <v>1025422.9407090025</v>
      </c>
      <c r="K20" s="1030">
        <v>1016553.2879008224</v>
      </c>
      <c r="L20" s="1030">
        <v>1189952.4298237683</v>
      </c>
      <c r="M20" s="1030">
        <v>-245130.97693656205</v>
      </c>
      <c r="N20" s="256">
        <v>-245130.97693656199</v>
      </c>
      <c r="O20" s="203">
        <v>10206003.952679999</v>
      </c>
      <c r="P20" s="205">
        <v>10818364.189840801</v>
      </c>
      <c r="Q20" s="256">
        <v>11467466.037231252</v>
      </c>
      <c r="R20" s="338"/>
    </row>
    <row r="21" spans="1:18" ht="11.25" customHeight="1" x14ac:dyDescent="0.25">
      <c r="A21" s="1016" t="s">
        <v>958</v>
      </c>
      <c r="B21" s="682"/>
      <c r="C21" s="1066">
        <v>335852.30854121957</v>
      </c>
      <c r="D21" s="1030">
        <v>3392.8266666666664</v>
      </c>
      <c r="E21" s="1030">
        <v>523987.4770170917</v>
      </c>
      <c r="F21" s="1030">
        <v>523987.47701709159</v>
      </c>
      <c r="G21" s="1030">
        <v>425983.35438222456</v>
      </c>
      <c r="H21" s="1030">
        <v>3095.2266666666669</v>
      </c>
      <c r="I21" s="1030">
        <v>1566960.0368932253</v>
      </c>
      <c r="J21" s="1030">
        <v>445921.43798487278</v>
      </c>
      <c r="K21" s="1030">
        <v>486994.70932059747</v>
      </c>
      <c r="L21" s="1030">
        <v>412006.04039989313</v>
      </c>
      <c r="M21" s="1030">
        <v>-634878.94744477433</v>
      </c>
      <c r="N21" s="256">
        <v>-634878.94744477514</v>
      </c>
      <c r="O21" s="203">
        <v>3458423</v>
      </c>
      <c r="P21" s="205">
        <v>3665928.38</v>
      </c>
      <c r="Q21" s="256">
        <v>3885884.0828</v>
      </c>
      <c r="R21" s="338"/>
    </row>
    <row r="22" spans="1:18" ht="11.25" customHeight="1" x14ac:dyDescent="0.25">
      <c r="A22" s="1016" t="s">
        <v>1136</v>
      </c>
      <c r="B22" s="682"/>
      <c r="C22" s="1066">
        <v>613997.22249727033</v>
      </c>
      <c r="D22" s="1030">
        <v>13.012270274069984</v>
      </c>
      <c r="E22" s="1030">
        <v>924007.17478006764</v>
      </c>
      <c r="F22" s="1030">
        <v>924007.17478006775</v>
      </c>
      <c r="G22" s="1030">
        <v>609297.02483281773</v>
      </c>
      <c r="H22" s="1030">
        <v>52.049081096280929</v>
      </c>
      <c r="I22" s="1030">
        <v>1215540.857788234</v>
      </c>
      <c r="J22" s="1030">
        <v>600637.75487645366</v>
      </c>
      <c r="K22" s="1030">
        <v>657618.28820478311</v>
      </c>
      <c r="L22" s="1030">
        <v>608873.15687769128</v>
      </c>
      <c r="M22" s="1030">
        <v>-817389.14591437799</v>
      </c>
      <c r="N22" s="256">
        <v>-817389.14591437764</v>
      </c>
      <c r="O22" s="203">
        <v>4519265.4241599999</v>
      </c>
      <c r="P22" s="205">
        <v>4790421.3496096004</v>
      </c>
      <c r="Q22" s="256">
        <v>5077846.6285861796</v>
      </c>
      <c r="R22" s="338"/>
    </row>
    <row r="23" spans="1:18" ht="11.25" customHeight="1" x14ac:dyDescent="0.25">
      <c r="A23" s="1016" t="s">
        <v>1137</v>
      </c>
      <c r="B23" s="682"/>
      <c r="C23" s="1066">
        <v>290868.37869132438</v>
      </c>
      <c r="D23" s="1030">
        <v>0</v>
      </c>
      <c r="E23" s="1030">
        <v>445026.53807193559</v>
      </c>
      <c r="F23" s="1030">
        <v>445026.53807193576</v>
      </c>
      <c r="G23" s="1030">
        <v>296301.15579151246</v>
      </c>
      <c r="H23" s="1030">
        <v>0</v>
      </c>
      <c r="I23" s="1030">
        <v>561257.81263800047</v>
      </c>
      <c r="J23" s="1030">
        <v>222781.66971640583</v>
      </c>
      <c r="K23" s="1030">
        <v>623957.10178319656</v>
      </c>
      <c r="L23" s="1030">
        <v>283684.01168111473</v>
      </c>
      <c r="M23" s="1030">
        <v>49731.696777287092</v>
      </c>
      <c r="N23" s="256">
        <v>49731.696777287405</v>
      </c>
      <c r="O23" s="203">
        <v>3268366.6</v>
      </c>
      <c r="P23" s="205">
        <v>3464468.5959999999</v>
      </c>
      <c r="Q23" s="256">
        <v>3672336.7117599999</v>
      </c>
      <c r="R23" s="338"/>
    </row>
    <row r="24" spans="1:18" ht="11.25" customHeight="1" x14ac:dyDescent="0.25">
      <c r="A24" s="1015" t="s">
        <v>293</v>
      </c>
      <c r="B24" s="682"/>
      <c r="C24" s="2121">
        <v>16666.666666666668</v>
      </c>
      <c r="D24" s="2119">
        <v>16666.666666666668</v>
      </c>
      <c r="E24" s="2119">
        <v>16666.666666666668</v>
      </c>
      <c r="F24" s="2119">
        <v>16666.666666666668</v>
      </c>
      <c r="G24" s="2119">
        <v>16666.666666666668</v>
      </c>
      <c r="H24" s="2119">
        <v>16666.666666666668</v>
      </c>
      <c r="I24" s="2119">
        <v>16666.666666666668</v>
      </c>
      <c r="J24" s="2119">
        <v>16666.666666666668</v>
      </c>
      <c r="K24" s="2119">
        <v>16666.666666666668</v>
      </c>
      <c r="L24" s="2119">
        <v>16666.666666666668</v>
      </c>
      <c r="M24" s="2119">
        <v>81666.666666666672</v>
      </c>
      <c r="N24" s="313">
        <v>81666.666666666686</v>
      </c>
      <c r="O24" s="218">
        <v>330000</v>
      </c>
      <c r="P24" s="357">
        <v>349800</v>
      </c>
      <c r="Q24" s="313">
        <v>370788</v>
      </c>
      <c r="R24" s="338"/>
    </row>
    <row r="25" spans="1:18" x14ac:dyDescent="0.25">
      <c r="A25" s="257" t="s">
        <v>2486</v>
      </c>
      <c r="B25" s="683"/>
      <c r="C25" s="261">
        <v>14928952.786032045</v>
      </c>
      <c r="D25" s="259">
        <v>721150.45742957445</v>
      </c>
      <c r="E25" s="259">
        <v>4985270.7567226505</v>
      </c>
      <c r="F25" s="259">
        <v>4985270.7567226505</v>
      </c>
      <c r="G25" s="259">
        <v>2834775.8372049751</v>
      </c>
      <c r="H25" s="259">
        <v>5899442.5082869548</v>
      </c>
      <c r="I25" s="259">
        <v>6325349.5579599049</v>
      </c>
      <c r="J25" s="259">
        <v>3450371.5129158832</v>
      </c>
      <c r="K25" s="259">
        <v>8954833.628295755</v>
      </c>
      <c r="L25" s="259">
        <v>3429760.2016762453</v>
      </c>
      <c r="M25" s="259">
        <v>13095871.029618816</v>
      </c>
      <c r="N25" s="259">
        <v>13095871.029618815</v>
      </c>
      <c r="O25" s="213">
        <v>82706920.062484264</v>
      </c>
      <c r="P25" s="211">
        <v>88214435.266233325</v>
      </c>
      <c r="Q25" s="212">
        <v>93775241.376207322</v>
      </c>
      <c r="R25" s="338"/>
    </row>
    <row r="26" spans="1:18" ht="5.0999999999999996" customHeight="1" x14ac:dyDescent="0.25">
      <c r="A26" s="265"/>
      <c r="B26" s="682"/>
      <c r="C26" s="246"/>
      <c r="D26" s="205">
        <v>832905.87714593462</v>
      </c>
      <c r="E26" s="205">
        <v>6587092.5709980577</v>
      </c>
      <c r="F26" s="205">
        <v>6587092.5709980577</v>
      </c>
      <c r="G26" s="205">
        <v>3785473.031757615</v>
      </c>
      <c r="H26" s="205">
        <v>5920595.3396058418</v>
      </c>
      <c r="I26" s="205">
        <v>8581651.7526502199</v>
      </c>
      <c r="J26" s="205">
        <v>4479270.8329582196</v>
      </c>
      <c r="K26" s="205">
        <v>9981407.5251790341</v>
      </c>
      <c r="L26" s="205">
        <v>4637374.4893859783</v>
      </c>
      <c r="M26" s="205">
        <v>19499477.110357694</v>
      </c>
      <c r="N26" s="256"/>
      <c r="O26" s="203"/>
      <c r="P26" s="201"/>
      <c r="Q26" s="202"/>
      <c r="R26" s="338"/>
    </row>
    <row r="27" spans="1:18" x14ac:dyDescent="0.25">
      <c r="A27" s="244" t="s">
        <v>433</v>
      </c>
      <c r="B27" s="684"/>
      <c r="C27" s="246"/>
      <c r="D27" s="205"/>
      <c r="E27" s="205"/>
      <c r="F27" s="205"/>
      <c r="G27" s="205"/>
      <c r="H27" s="205"/>
      <c r="I27" s="205"/>
      <c r="J27" s="205"/>
      <c r="K27" s="205"/>
      <c r="L27" s="205"/>
      <c r="M27" s="205"/>
      <c r="N27" s="256"/>
      <c r="O27" s="203"/>
      <c r="P27" s="201"/>
      <c r="Q27" s="202"/>
      <c r="R27" s="338"/>
    </row>
    <row r="28" spans="1:18" ht="11.25" customHeight="1" x14ac:dyDescent="0.25">
      <c r="A28" s="1015" t="s">
        <v>1134</v>
      </c>
      <c r="B28" s="682"/>
      <c r="C28" s="905">
        <v>1646591.1096671352</v>
      </c>
      <c r="D28" s="903">
        <v>1274209.2142585581</v>
      </c>
      <c r="E28" s="903">
        <v>1569550.54659718</v>
      </c>
      <c r="F28" s="903">
        <v>1569550.54659718</v>
      </c>
      <c r="G28" s="903">
        <v>1958421.4872243232</v>
      </c>
      <c r="H28" s="903">
        <v>2645332.5039197262</v>
      </c>
      <c r="I28" s="903">
        <v>1164214.9326289601</v>
      </c>
      <c r="J28" s="903">
        <v>1281647.6089176796</v>
      </c>
      <c r="K28" s="903">
        <v>1139980.0404597595</v>
      </c>
      <c r="L28" s="903">
        <v>1317329.8999164044</v>
      </c>
      <c r="M28" s="903">
        <v>6796376.5100357439</v>
      </c>
      <c r="N28" s="313">
        <v>6796376.5100357458</v>
      </c>
      <c r="O28" s="218">
        <v>29159580.910258397</v>
      </c>
      <c r="P28" s="216">
        <v>28586155.7648739</v>
      </c>
      <c r="Q28" s="217">
        <v>30417725.110766336</v>
      </c>
      <c r="R28" s="338"/>
    </row>
    <row r="29" spans="1:18" ht="11.25" customHeight="1" x14ac:dyDescent="0.25">
      <c r="A29" s="1016" t="s">
        <v>2421</v>
      </c>
      <c r="B29" s="682"/>
      <c r="C29" s="1066">
        <v>252884.46890860249</v>
      </c>
      <c r="D29" s="1030">
        <v>469458.4046236733</v>
      </c>
      <c r="E29" s="1030">
        <v>230378.17185919729</v>
      </c>
      <c r="F29" s="1030">
        <v>230378.17185919729</v>
      </c>
      <c r="G29" s="1030">
        <v>206664.70262342025</v>
      </c>
      <c r="H29" s="1030">
        <v>199613.32372961164</v>
      </c>
      <c r="I29" s="1030">
        <v>198411.78198157554</v>
      </c>
      <c r="J29" s="1030">
        <v>296815.4416482544</v>
      </c>
      <c r="K29" s="1030">
        <v>296788.03487181815</v>
      </c>
      <c r="L29" s="1030">
        <v>247300.88825417095</v>
      </c>
      <c r="M29" s="1030">
        <v>1837482.2458062395</v>
      </c>
      <c r="N29" s="256">
        <v>1837482.2458062395</v>
      </c>
      <c r="O29" s="203">
        <v>6303657.881972</v>
      </c>
      <c r="P29" s="201">
        <v>4561877.3548903205</v>
      </c>
      <c r="Q29" s="202">
        <v>4835589.99618374</v>
      </c>
      <c r="R29" s="338"/>
    </row>
    <row r="30" spans="1:18" ht="11.25" customHeight="1" x14ac:dyDescent="0.25">
      <c r="A30" s="1016" t="s">
        <v>2420</v>
      </c>
      <c r="B30" s="682"/>
      <c r="C30" s="2091">
        <v>1063151.664448238</v>
      </c>
      <c r="D30" s="2089">
        <v>489478.76671863563</v>
      </c>
      <c r="E30" s="2089">
        <v>1027357.5053067202</v>
      </c>
      <c r="F30" s="2089">
        <v>1027357.5053067202</v>
      </c>
      <c r="G30" s="2089">
        <v>1407824.6642994597</v>
      </c>
      <c r="H30" s="2089">
        <v>2098919.0355849345</v>
      </c>
      <c r="I30" s="2089">
        <v>649465.9923930387</v>
      </c>
      <c r="J30" s="2089">
        <v>561471.87230037618</v>
      </c>
      <c r="K30" s="2089">
        <v>533323.21620412369</v>
      </c>
      <c r="L30" s="2089">
        <v>723856.89355599228</v>
      </c>
      <c r="M30" s="2089">
        <v>3386133.5704670385</v>
      </c>
      <c r="N30" s="256">
        <v>3386133.5704670381</v>
      </c>
      <c r="O30" s="203">
        <v>16354474.257052317</v>
      </c>
      <c r="P30" s="201">
        <v>17132742.712475456</v>
      </c>
      <c r="Q30" s="202">
        <v>18277107.275223982</v>
      </c>
      <c r="R30" s="338"/>
    </row>
    <row r="31" spans="1:18" ht="11.25" customHeight="1" x14ac:dyDescent="0.25">
      <c r="A31" s="1016" t="s">
        <v>144</v>
      </c>
      <c r="B31" s="682"/>
      <c r="C31" s="1066">
        <v>330554.97631029476</v>
      </c>
      <c r="D31" s="1030">
        <v>315272.04291624925</v>
      </c>
      <c r="E31" s="1030">
        <v>311814.8694312626</v>
      </c>
      <c r="F31" s="1030">
        <v>311814.8694312626</v>
      </c>
      <c r="G31" s="1030">
        <v>343932.12030144327</v>
      </c>
      <c r="H31" s="1030">
        <v>346800.14460518025</v>
      </c>
      <c r="I31" s="1030">
        <v>316337.15825434582</v>
      </c>
      <c r="J31" s="1030">
        <v>423360.29496904893</v>
      </c>
      <c r="K31" s="1030">
        <v>309868.78938381781</v>
      </c>
      <c r="L31" s="1030">
        <v>346172.11810624116</v>
      </c>
      <c r="M31" s="1030">
        <v>1572760.6937624668</v>
      </c>
      <c r="N31" s="256">
        <v>1572760.6937624654</v>
      </c>
      <c r="O31" s="203">
        <v>6501448.7712340793</v>
      </c>
      <c r="P31" s="201">
        <v>6891535.6975081246</v>
      </c>
      <c r="Q31" s="202">
        <v>7305027.8393586148</v>
      </c>
      <c r="R31" s="338"/>
    </row>
    <row r="32" spans="1:18" ht="11.25" customHeight="1" x14ac:dyDescent="0.25">
      <c r="A32" s="1015" t="s">
        <v>145</v>
      </c>
      <c r="B32" s="682"/>
      <c r="C32" s="905">
        <v>107064.36319132056</v>
      </c>
      <c r="D32" s="903">
        <v>153457.78692276365</v>
      </c>
      <c r="E32" s="903">
        <v>135133.90355377158</v>
      </c>
      <c r="F32" s="903">
        <v>135133.90355377158</v>
      </c>
      <c r="G32" s="903">
        <v>104766.56622850116</v>
      </c>
      <c r="H32" s="903">
        <v>242727.91533163408</v>
      </c>
      <c r="I32" s="903">
        <v>125098.56672807736</v>
      </c>
      <c r="J32" s="903">
        <v>129806.39563426461</v>
      </c>
      <c r="K32" s="903">
        <v>230713.84486076978</v>
      </c>
      <c r="L32" s="903">
        <v>213724.08186040368</v>
      </c>
      <c r="M32" s="903">
        <v>565659.33637036104</v>
      </c>
      <c r="N32" s="313">
        <v>565659.33637036104</v>
      </c>
      <c r="O32" s="218">
        <v>2708946.0006060004</v>
      </c>
      <c r="P32" s="216">
        <v>2871482.76064236</v>
      </c>
      <c r="Q32" s="217">
        <v>3043771.7262809016</v>
      </c>
      <c r="R32" s="338"/>
    </row>
    <row r="33" spans="1:18" ht="11.25" customHeight="1" x14ac:dyDescent="0.25">
      <c r="A33" s="1016" t="s">
        <v>2419</v>
      </c>
      <c r="B33" s="682"/>
      <c r="C33" s="1066">
        <v>103030.19652465389</v>
      </c>
      <c r="D33" s="1030">
        <v>138270.26813081733</v>
      </c>
      <c r="E33" s="1030">
        <v>118409.29312019324</v>
      </c>
      <c r="F33" s="1030">
        <v>118409.29312019324</v>
      </c>
      <c r="G33" s="1030">
        <v>95748.715105458657</v>
      </c>
      <c r="H33" s="1030">
        <v>222181.02974475862</v>
      </c>
      <c r="I33" s="1030">
        <v>109316.38458937491</v>
      </c>
      <c r="J33" s="1030">
        <v>124279.78843068519</v>
      </c>
      <c r="K33" s="1030">
        <v>225229.91747821943</v>
      </c>
      <c r="L33" s="1030">
        <v>209245.67036152224</v>
      </c>
      <c r="M33" s="1030">
        <v>380357.72200006165</v>
      </c>
      <c r="N33" s="256">
        <v>380357.722000062</v>
      </c>
      <c r="O33" s="203">
        <v>2224836.0006060004</v>
      </c>
      <c r="P33" s="201">
        <v>2358326.1606423599</v>
      </c>
      <c r="Q33" s="202">
        <v>2499825.7302809018</v>
      </c>
      <c r="R33" s="338"/>
    </row>
    <row r="34" spans="1:18" ht="11.25" customHeight="1" x14ac:dyDescent="0.25">
      <c r="A34" s="1016" t="s">
        <v>2422</v>
      </c>
      <c r="B34" s="682"/>
      <c r="C34" s="1066">
        <v>2367.5</v>
      </c>
      <c r="D34" s="1030">
        <v>2367.5</v>
      </c>
      <c r="E34" s="1030">
        <v>2367.5</v>
      </c>
      <c r="F34" s="1030">
        <v>2367.5</v>
      </c>
      <c r="G34" s="1030">
        <v>2367.5</v>
      </c>
      <c r="H34" s="1030">
        <v>2367.5</v>
      </c>
      <c r="I34" s="1030">
        <v>2367.5</v>
      </c>
      <c r="J34" s="1030">
        <v>2367.5</v>
      </c>
      <c r="K34" s="1030">
        <v>2367.5</v>
      </c>
      <c r="L34" s="1030">
        <v>2367.5</v>
      </c>
      <c r="M34" s="1030">
        <v>62367.5</v>
      </c>
      <c r="N34" s="256">
        <v>62367.5</v>
      </c>
      <c r="O34" s="203">
        <v>148410</v>
      </c>
      <c r="P34" s="201">
        <v>157314.6</v>
      </c>
      <c r="Q34" s="202">
        <v>166753.476</v>
      </c>
      <c r="R34" s="338"/>
    </row>
    <row r="35" spans="1:18" ht="11.25" customHeight="1" x14ac:dyDescent="0.25">
      <c r="A35" s="1016" t="s">
        <v>148</v>
      </c>
      <c r="B35" s="682"/>
      <c r="C35" s="1066">
        <v>1666.6666666666667</v>
      </c>
      <c r="D35" s="1030">
        <v>12820.018791946308</v>
      </c>
      <c r="E35" s="1030">
        <v>14357.110433578353</v>
      </c>
      <c r="F35" s="1030">
        <v>14357.110433578353</v>
      </c>
      <c r="G35" s="1030">
        <v>6650.3511230425065</v>
      </c>
      <c r="H35" s="1030">
        <v>18179.385586875469</v>
      </c>
      <c r="I35" s="1030">
        <v>13414.682138702461</v>
      </c>
      <c r="J35" s="1030">
        <v>3159.1072035794173</v>
      </c>
      <c r="K35" s="1030">
        <v>3116.427382550336</v>
      </c>
      <c r="L35" s="1030">
        <v>2110.9114988814322</v>
      </c>
      <c r="M35" s="1030">
        <v>122934.11437029934</v>
      </c>
      <c r="N35" s="256">
        <v>122934.11437029939</v>
      </c>
      <c r="O35" s="203">
        <v>335700</v>
      </c>
      <c r="P35" s="201">
        <v>355842</v>
      </c>
      <c r="Q35" s="202">
        <v>377192.52</v>
      </c>
      <c r="R35" s="338"/>
    </row>
    <row r="36" spans="1:18" ht="11.25" customHeight="1" x14ac:dyDescent="0.25">
      <c r="A36" s="1016" t="s">
        <v>1722</v>
      </c>
      <c r="B36" s="682"/>
      <c r="C36" s="1066">
        <v>0</v>
      </c>
      <c r="D36" s="1030">
        <v>0</v>
      </c>
      <c r="E36" s="1030">
        <v>0</v>
      </c>
      <c r="F36" s="1030">
        <v>0</v>
      </c>
      <c r="G36" s="1030">
        <v>0</v>
      </c>
      <c r="H36" s="1030">
        <v>0</v>
      </c>
      <c r="I36" s="1030">
        <v>0</v>
      </c>
      <c r="J36" s="1030">
        <v>0</v>
      </c>
      <c r="K36" s="1030">
        <v>0</v>
      </c>
      <c r="L36" s="1030">
        <v>0</v>
      </c>
      <c r="M36" s="1030">
        <v>0</v>
      </c>
      <c r="N36" s="256">
        <v>0</v>
      </c>
      <c r="O36" s="203">
        <v>0</v>
      </c>
      <c r="P36" s="201">
        <v>0</v>
      </c>
      <c r="Q36" s="202">
        <v>0</v>
      </c>
      <c r="R36" s="338"/>
    </row>
    <row r="37" spans="1:18" ht="11.25" customHeight="1" x14ac:dyDescent="0.25">
      <c r="A37" s="1016" t="s">
        <v>1802</v>
      </c>
      <c r="B37" s="682"/>
      <c r="C37" s="1066">
        <v>0</v>
      </c>
      <c r="D37" s="1030">
        <v>0</v>
      </c>
      <c r="E37" s="1030">
        <v>0</v>
      </c>
      <c r="F37" s="1030">
        <v>0</v>
      </c>
      <c r="G37" s="1030">
        <v>0</v>
      </c>
      <c r="H37" s="1030">
        <v>0</v>
      </c>
      <c r="I37" s="1030">
        <v>0</v>
      </c>
      <c r="J37" s="1030">
        <v>0</v>
      </c>
      <c r="K37" s="1030">
        <v>0</v>
      </c>
      <c r="L37" s="1030">
        <v>0</v>
      </c>
      <c r="M37" s="1030">
        <v>0</v>
      </c>
      <c r="N37" s="256">
        <v>0</v>
      </c>
      <c r="O37" s="203">
        <v>0</v>
      </c>
      <c r="P37" s="201">
        <v>0</v>
      </c>
      <c r="Q37" s="202">
        <v>0</v>
      </c>
      <c r="R37" s="338"/>
    </row>
    <row r="38" spans="1:18" ht="11.25" customHeight="1" x14ac:dyDescent="0.25">
      <c r="A38" s="1015" t="s">
        <v>149</v>
      </c>
      <c r="B38" s="682"/>
      <c r="C38" s="905">
        <v>1006076.4095660609</v>
      </c>
      <c r="D38" s="903">
        <v>1050169.6210435624</v>
      </c>
      <c r="E38" s="903">
        <v>1212654.8560156228</v>
      </c>
      <c r="F38" s="903">
        <v>1212654.8560156228</v>
      </c>
      <c r="G38" s="903">
        <v>1107948.282194155</v>
      </c>
      <c r="H38" s="903">
        <v>1186397.0458006856</v>
      </c>
      <c r="I38" s="903">
        <v>1128914.2752796584</v>
      </c>
      <c r="J38" s="903">
        <v>1047711.9157834409</v>
      </c>
      <c r="K38" s="903">
        <v>1103518.5575952302</v>
      </c>
      <c r="L38" s="903">
        <v>1049265.7113388889</v>
      </c>
      <c r="M38" s="903">
        <v>8372441.198421536</v>
      </c>
      <c r="N38" s="313">
        <v>8372441.1984215379</v>
      </c>
      <c r="O38" s="218">
        <v>27850193.927476004</v>
      </c>
      <c r="P38" s="216">
        <v>29521205.56312456</v>
      </c>
      <c r="Q38" s="217">
        <v>31292477.896912035</v>
      </c>
      <c r="R38" s="338"/>
    </row>
    <row r="39" spans="1:18" ht="11.25" customHeight="1" x14ac:dyDescent="0.25">
      <c r="A39" s="1016" t="s">
        <v>2418</v>
      </c>
      <c r="B39" s="682"/>
      <c r="C39" s="1066">
        <v>733991.03535683022</v>
      </c>
      <c r="D39" s="1030">
        <v>775222.84737599164</v>
      </c>
      <c r="E39" s="1030">
        <v>865693.58713765745</v>
      </c>
      <c r="F39" s="1030">
        <v>865693.58713765757</v>
      </c>
      <c r="G39" s="1030">
        <v>765056.5780048715</v>
      </c>
      <c r="H39" s="1030">
        <v>867567.34326393041</v>
      </c>
      <c r="I39" s="1030">
        <v>738827.11842215934</v>
      </c>
      <c r="J39" s="1030">
        <v>760779.2534377554</v>
      </c>
      <c r="K39" s="1030">
        <v>721389.80443728832</v>
      </c>
      <c r="L39" s="1030">
        <v>714575.66925432777</v>
      </c>
      <c r="M39" s="1030">
        <v>2580988.7836177652</v>
      </c>
      <c r="N39" s="256">
        <v>-2001205.0880782343</v>
      </c>
      <c r="O39" s="203">
        <v>8388580.5193680003</v>
      </c>
      <c r="P39" s="201">
        <v>8891895.3505300805</v>
      </c>
      <c r="Q39" s="202">
        <v>9425409.0715618841</v>
      </c>
      <c r="R39" s="338"/>
    </row>
    <row r="40" spans="1:18" ht="11.25" customHeight="1" x14ac:dyDescent="0.25">
      <c r="A40" s="1016" t="s">
        <v>151</v>
      </c>
      <c r="B40" s="682"/>
      <c r="C40" s="1066">
        <v>272085.37420923059</v>
      </c>
      <c r="D40" s="1030">
        <v>274946.77366757084</v>
      </c>
      <c r="E40" s="1030">
        <v>346961.26887796534</v>
      </c>
      <c r="F40" s="1030">
        <v>346961.26887796534</v>
      </c>
      <c r="G40" s="1030">
        <v>342891.70418928354</v>
      </c>
      <c r="H40" s="1030">
        <v>318829.70253675524</v>
      </c>
      <c r="I40" s="1030">
        <v>390087.15685749904</v>
      </c>
      <c r="J40" s="1030">
        <v>286932.66234568553</v>
      </c>
      <c r="K40" s="1030">
        <v>382128.75315794192</v>
      </c>
      <c r="L40" s="1030">
        <v>334690.0420845612</v>
      </c>
      <c r="M40" s="1030">
        <v>5791452.4148037713</v>
      </c>
      <c r="N40" s="256">
        <v>10373646.286499772</v>
      </c>
      <c r="O40" s="203">
        <v>19461613.408108003</v>
      </c>
      <c r="P40" s="201">
        <v>20629310.212594479</v>
      </c>
      <c r="Q40" s="202">
        <v>21867068.82535015</v>
      </c>
      <c r="R40" s="338"/>
    </row>
    <row r="41" spans="1:18" ht="11.25" customHeight="1" x14ac:dyDescent="0.25">
      <c r="A41" s="1016" t="s">
        <v>152</v>
      </c>
      <c r="B41" s="682"/>
      <c r="C41" s="1066">
        <v>0</v>
      </c>
      <c r="D41" s="1030">
        <v>0</v>
      </c>
      <c r="E41" s="1030">
        <v>0</v>
      </c>
      <c r="F41" s="1030">
        <v>0</v>
      </c>
      <c r="G41" s="1030">
        <v>0</v>
      </c>
      <c r="H41" s="1030">
        <v>0</v>
      </c>
      <c r="I41" s="1030">
        <v>0</v>
      </c>
      <c r="J41" s="1030">
        <v>0</v>
      </c>
      <c r="K41" s="1030">
        <v>0</v>
      </c>
      <c r="L41" s="1030">
        <v>0</v>
      </c>
      <c r="M41" s="1030">
        <v>0</v>
      </c>
      <c r="N41" s="256">
        <v>0</v>
      </c>
      <c r="O41" s="203">
        <v>0</v>
      </c>
      <c r="P41" s="201">
        <v>0</v>
      </c>
      <c r="Q41" s="202">
        <v>0</v>
      </c>
      <c r="R41" s="338"/>
    </row>
    <row r="42" spans="1:18" ht="11.25" customHeight="1" x14ac:dyDescent="0.25">
      <c r="A42" s="1015" t="s">
        <v>153</v>
      </c>
      <c r="B42" s="682"/>
      <c r="C42" s="905">
        <v>1353245.5484576719</v>
      </c>
      <c r="D42" s="903">
        <v>1811846.6020163724</v>
      </c>
      <c r="E42" s="903">
        <v>2176833.4071150115</v>
      </c>
      <c r="F42" s="903">
        <v>2176833.407115011</v>
      </c>
      <c r="G42" s="903">
        <v>2661712.9276508065</v>
      </c>
      <c r="H42" s="903">
        <v>1309481.098950597</v>
      </c>
      <c r="I42" s="903">
        <v>3401696.4702247167</v>
      </c>
      <c r="J42" s="903">
        <v>1240989.5334895924</v>
      </c>
      <c r="K42" s="903">
        <v>2358607.3784577358</v>
      </c>
      <c r="L42" s="903">
        <v>2041541.4955620398</v>
      </c>
      <c r="M42" s="903">
        <v>2995464.1884755827</v>
      </c>
      <c r="N42" s="313">
        <v>2995464.1884755827</v>
      </c>
      <c r="O42" s="218">
        <v>26523716.24599072</v>
      </c>
      <c r="P42" s="216">
        <v>28115139.220750161</v>
      </c>
      <c r="Q42" s="217">
        <v>29802047.573995177</v>
      </c>
      <c r="R42" s="338"/>
    </row>
    <row r="43" spans="1:18" ht="11.25" customHeight="1" x14ac:dyDescent="0.25">
      <c r="A43" s="1016" t="s">
        <v>654</v>
      </c>
      <c r="B43" s="682"/>
      <c r="C43" s="1066">
        <v>874933.85580176907</v>
      </c>
      <c r="D43" s="1030">
        <v>1222153.6427085206</v>
      </c>
      <c r="E43" s="1030">
        <v>1452648.3249689017</v>
      </c>
      <c r="F43" s="1030">
        <v>1452648.3249689015</v>
      </c>
      <c r="G43" s="1030">
        <v>819819.39412402757</v>
      </c>
      <c r="H43" s="1030">
        <v>739858.85874202568</v>
      </c>
      <c r="I43" s="1030">
        <v>768217.93732634047</v>
      </c>
      <c r="J43" s="1030">
        <v>300885.67757124046</v>
      </c>
      <c r="K43" s="1030">
        <v>1333726.3840516536</v>
      </c>
      <c r="L43" s="1030">
        <v>874130.2974953464</v>
      </c>
      <c r="M43" s="1030">
        <v>2129993.9855246362</v>
      </c>
      <c r="N43" s="256">
        <v>2129993.9855246376</v>
      </c>
      <c r="O43" s="203">
        <v>14099010.668808</v>
      </c>
      <c r="P43" s="201">
        <v>14944951.30893648</v>
      </c>
      <c r="Q43" s="202">
        <v>15841648.387472671</v>
      </c>
      <c r="R43" s="338"/>
    </row>
    <row r="44" spans="1:18" ht="11.25" customHeight="1" x14ac:dyDescent="0.25">
      <c r="A44" s="1016" t="s">
        <v>958</v>
      </c>
      <c r="B44" s="682"/>
      <c r="C44" s="1066">
        <v>179982.71197268544</v>
      </c>
      <c r="D44" s="1030">
        <v>243229.49958117027</v>
      </c>
      <c r="E44" s="1030">
        <v>342993.86427852011</v>
      </c>
      <c r="F44" s="1030">
        <v>342993.86427852011</v>
      </c>
      <c r="G44" s="1030">
        <v>794917.98056333803</v>
      </c>
      <c r="H44" s="1030">
        <v>230493.31268575107</v>
      </c>
      <c r="I44" s="1030">
        <v>1279162.5827116373</v>
      </c>
      <c r="J44" s="1030">
        <v>400349.56231330289</v>
      </c>
      <c r="K44" s="1030">
        <v>470602.93772753578</v>
      </c>
      <c r="L44" s="1030">
        <v>507298.70581167768</v>
      </c>
      <c r="M44" s="1030">
        <v>-204721.28926606916</v>
      </c>
      <c r="N44" s="256">
        <v>-204721.28926606942</v>
      </c>
      <c r="O44" s="203">
        <v>4382582.4433919992</v>
      </c>
      <c r="P44" s="201">
        <v>4645537.3899955209</v>
      </c>
      <c r="Q44" s="202">
        <v>4924269.6333952518</v>
      </c>
      <c r="R44" s="338"/>
    </row>
    <row r="45" spans="1:18" ht="11.25" customHeight="1" x14ac:dyDescent="0.25">
      <c r="A45" s="1016" t="s">
        <v>1136</v>
      </c>
      <c r="B45" s="682"/>
      <c r="C45" s="1066">
        <v>186955.92740230318</v>
      </c>
      <c r="D45" s="1030">
        <v>223050.16888072074</v>
      </c>
      <c r="E45" s="1030">
        <v>232954.87105875983</v>
      </c>
      <c r="F45" s="1030">
        <v>232954.87105875986</v>
      </c>
      <c r="G45" s="1030">
        <v>599933.55760659557</v>
      </c>
      <c r="H45" s="1030">
        <v>210275.34621462005</v>
      </c>
      <c r="I45" s="1030">
        <v>772028.80565064645</v>
      </c>
      <c r="J45" s="1030">
        <v>305465.08891663927</v>
      </c>
      <c r="K45" s="1030">
        <v>306208.48105560866</v>
      </c>
      <c r="L45" s="1030">
        <v>356314.86654681817</v>
      </c>
      <c r="M45" s="1030">
        <v>447510.17848762416</v>
      </c>
      <c r="N45" s="256">
        <v>447510.17848762497</v>
      </c>
      <c r="O45" s="203">
        <v>4321162.3413667204</v>
      </c>
      <c r="P45" s="201">
        <v>4580432.0818487229</v>
      </c>
      <c r="Q45" s="202">
        <v>4855258.0067596473</v>
      </c>
      <c r="R45" s="338"/>
    </row>
    <row r="46" spans="1:18" ht="11.25" customHeight="1" x14ac:dyDescent="0.25">
      <c r="A46" s="1016" t="s">
        <v>1137</v>
      </c>
      <c r="B46" s="682"/>
      <c r="C46" s="1066">
        <v>111373.05328091426</v>
      </c>
      <c r="D46" s="1030">
        <v>123413.2908459607</v>
      </c>
      <c r="E46" s="1030">
        <v>148236.34680882999</v>
      </c>
      <c r="F46" s="1030">
        <v>148236.34680882999</v>
      </c>
      <c r="G46" s="1030">
        <v>447041.99535684515</v>
      </c>
      <c r="H46" s="1030">
        <v>128853.5813082001</v>
      </c>
      <c r="I46" s="1030">
        <v>582287.14453609218</v>
      </c>
      <c r="J46" s="1030">
        <v>234289.20468840972</v>
      </c>
      <c r="K46" s="1030">
        <v>248069.57562293744</v>
      </c>
      <c r="L46" s="1030">
        <v>303797.62570819783</v>
      </c>
      <c r="M46" s="1030">
        <v>622681.31372939143</v>
      </c>
      <c r="N46" s="256">
        <v>622681.31372939143</v>
      </c>
      <c r="O46" s="203">
        <v>3720960.7924240003</v>
      </c>
      <c r="P46" s="201">
        <v>3944218.4399694405</v>
      </c>
      <c r="Q46" s="202">
        <v>4180871.5463676075</v>
      </c>
      <c r="R46" s="338"/>
    </row>
    <row r="47" spans="1:18" ht="11.25" customHeight="1" x14ac:dyDescent="0.25">
      <c r="A47" s="1015" t="s">
        <v>293</v>
      </c>
      <c r="B47" s="682"/>
      <c r="C47" s="2121">
        <v>2041.7</v>
      </c>
      <c r="D47" s="2119">
        <v>0</v>
      </c>
      <c r="E47" s="2119">
        <v>0</v>
      </c>
      <c r="F47" s="2119">
        <v>0</v>
      </c>
      <c r="G47" s="2119">
        <v>0</v>
      </c>
      <c r="H47" s="2119">
        <v>0</v>
      </c>
      <c r="I47" s="2119">
        <v>0</v>
      </c>
      <c r="J47" s="2119">
        <v>0</v>
      </c>
      <c r="K47" s="2119">
        <v>0</v>
      </c>
      <c r="L47" s="2119">
        <v>0</v>
      </c>
      <c r="M47" s="2119">
        <v>26654.149999999998</v>
      </c>
      <c r="N47" s="313">
        <v>26654.15</v>
      </c>
      <c r="O47" s="218">
        <v>55350</v>
      </c>
      <c r="P47" s="216">
        <v>58635</v>
      </c>
      <c r="Q47" s="217">
        <v>62117.1</v>
      </c>
      <c r="R47" s="338"/>
    </row>
    <row r="48" spans="1:18" x14ac:dyDescent="0.25">
      <c r="A48" s="257" t="s">
        <v>2487</v>
      </c>
      <c r="B48" s="683"/>
      <c r="C48" s="261">
        <v>4115019.1308821887</v>
      </c>
      <c r="D48" s="259">
        <v>4289683.2242412567</v>
      </c>
      <c r="E48" s="259">
        <v>5094172.7132815858</v>
      </c>
      <c r="F48" s="259">
        <v>5094172.7132815849</v>
      </c>
      <c r="G48" s="259">
        <v>5832849.263297786</v>
      </c>
      <c r="H48" s="259">
        <v>5383938.5640026424</v>
      </c>
      <c r="I48" s="259">
        <v>5819924.2448614128</v>
      </c>
      <c r="J48" s="259">
        <v>3700155.4538249774</v>
      </c>
      <c r="K48" s="259">
        <v>4832819.8213734953</v>
      </c>
      <c r="L48" s="259">
        <v>4621861.1886777375</v>
      </c>
      <c r="M48" s="259">
        <v>18756595.383303221</v>
      </c>
      <c r="N48" s="260">
        <v>18756595.383303225</v>
      </c>
      <c r="O48" s="213">
        <v>86297787.084331125</v>
      </c>
      <c r="P48" s="211">
        <v>89152618.309390992</v>
      </c>
      <c r="Q48" s="212">
        <v>94618139.40795444</v>
      </c>
      <c r="R48" s="338"/>
    </row>
    <row r="49" spans="1:18" ht="6" customHeight="1" x14ac:dyDescent="0.25">
      <c r="A49" s="265"/>
      <c r="B49" s="682"/>
      <c r="C49" s="246"/>
      <c r="D49" s="205"/>
      <c r="E49" s="205"/>
      <c r="F49" s="205"/>
      <c r="G49" s="205"/>
      <c r="H49" s="205"/>
      <c r="I49" s="205"/>
      <c r="J49" s="205"/>
      <c r="K49" s="205"/>
      <c r="L49" s="205"/>
      <c r="M49" s="205"/>
      <c r="N49" s="256"/>
      <c r="O49" s="203"/>
      <c r="P49" s="201"/>
      <c r="Q49" s="202"/>
      <c r="R49" s="338"/>
    </row>
    <row r="50" spans="1:18" x14ac:dyDescent="0.25">
      <c r="A50" s="685" t="s">
        <v>2550</v>
      </c>
      <c r="B50" s="686"/>
      <c r="C50" s="261">
        <v>10813933.655149857</v>
      </c>
      <c r="D50" s="259">
        <v>-3568532.7668116824</v>
      </c>
      <c r="E50" s="259">
        <v>-108901.95655893534</v>
      </c>
      <c r="F50" s="259">
        <v>-108901.95655893441</v>
      </c>
      <c r="G50" s="259">
        <v>-2998073.4260928109</v>
      </c>
      <c r="H50" s="259">
        <v>515503.94428431243</v>
      </c>
      <c r="I50" s="259">
        <v>505425.3130984921</v>
      </c>
      <c r="J50" s="259">
        <v>-249783.94090909418</v>
      </c>
      <c r="K50" s="259">
        <v>4122013.8069222597</v>
      </c>
      <c r="L50" s="259">
        <v>-1192100.9870014922</v>
      </c>
      <c r="M50" s="259">
        <v>-5660724.3536844049</v>
      </c>
      <c r="N50" s="260">
        <v>-5660724.3536844105</v>
      </c>
      <c r="O50" s="213">
        <v>-3590867.0218468606</v>
      </c>
      <c r="P50" s="211">
        <v>-938183.04315766692</v>
      </c>
      <c r="Q50" s="212">
        <v>-842898.03174711764</v>
      </c>
      <c r="R50" s="338"/>
    </row>
    <row r="51" spans="1:18" ht="6" customHeight="1" x14ac:dyDescent="0.25">
      <c r="A51" s="265"/>
      <c r="B51" s="682"/>
      <c r="C51" s="246"/>
      <c r="D51" s="205"/>
      <c r="E51" s="205"/>
      <c r="F51" s="205"/>
      <c r="G51" s="205"/>
      <c r="H51" s="205"/>
      <c r="I51" s="205"/>
      <c r="J51" s="205"/>
      <c r="K51" s="205"/>
      <c r="L51" s="205"/>
      <c r="M51" s="205"/>
      <c r="N51" s="256"/>
      <c r="O51" s="203"/>
      <c r="P51" s="201"/>
      <c r="Q51" s="202"/>
      <c r="R51" s="338"/>
    </row>
    <row r="52" spans="1:18" x14ac:dyDescent="0.25">
      <c r="A52" s="459" t="s">
        <v>461</v>
      </c>
      <c r="B52" s="689"/>
      <c r="C52" s="1066"/>
      <c r="D52" s="1030"/>
      <c r="E52" s="1030"/>
      <c r="F52" s="1030"/>
      <c r="G52" s="1030"/>
      <c r="H52" s="1030"/>
      <c r="I52" s="1030"/>
      <c r="J52" s="1030"/>
      <c r="K52" s="1030"/>
      <c r="L52" s="1030"/>
      <c r="M52" s="1030"/>
      <c r="N52" s="256">
        <v>0</v>
      </c>
      <c r="O52" s="203">
        <v>0</v>
      </c>
      <c r="P52" s="201">
        <v>0</v>
      </c>
      <c r="Q52" s="202">
        <v>0</v>
      </c>
      <c r="R52" s="338"/>
    </row>
    <row r="53" spans="1:18" x14ac:dyDescent="0.25">
      <c r="A53" s="673" t="s">
        <v>1725</v>
      </c>
      <c r="B53" s="690">
        <v>1</v>
      </c>
      <c r="C53" s="321">
        <v>10813933.655149857</v>
      </c>
      <c r="D53" s="224">
        <v>-3568532.7668116824</v>
      </c>
      <c r="E53" s="224">
        <v>-108901.95655893534</v>
      </c>
      <c r="F53" s="224">
        <v>-108901.95655893441</v>
      </c>
      <c r="G53" s="224">
        <v>-2998073.4260928109</v>
      </c>
      <c r="H53" s="224">
        <v>515503.94428431243</v>
      </c>
      <c r="I53" s="224">
        <v>505425.3130984921</v>
      </c>
      <c r="J53" s="224">
        <v>-249783.94090909418</v>
      </c>
      <c r="K53" s="224">
        <v>4122013.8069222597</v>
      </c>
      <c r="L53" s="224">
        <v>-1192100.9870014922</v>
      </c>
      <c r="M53" s="224">
        <v>-5660724.3536844049</v>
      </c>
      <c r="N53" s="320">
        <v>-5660724.3536844105</v>
      </c>
      <c r="O53" s="321">
        <v>-3590867.0218468606</v>
      </c>
      <c r="P53" s="224">
        <v>-938183.04315766692</v>
      </c>
      <c r="Q53" s="320">
        <v>-842898.03174711764</v>
      </c>
      <c r="R53" s="338"/>
    </row>
    <row r="54" spans="1:18" x14ac:dyDescent="0.25">
      <c r="A54" s="691" t="s">
        <v>986</v>
      </c>
      <c r="B54" s="693"/>
      <c r="C54" s="234"/>
      <c r="D54" s="234"/>
      <c r="E54" s="234"/>
      <c r="F54" s="234"/>
      <c r="G54" s="234"/>
      <c r="H54" s="234"/>
      <c r="I54" s="234"/>
      <c r="J54" s="234"/>
      <c r="K54" s="234"/>
      <c r="L54" s="234"/>
      <c r="M54" s="234"/>
      <c r="N54" s="234"/>
      <c r="O54" s="234"/>
      <c r="P54" s="234"/>
      <c r="Q54" s="234"/>
      <c r="R54" s="338"/>
    </row>
    <row r="55" spans="1:18" x14ac:dyDescent="0.25">
      <c r="A55" s="662" t="s">
        <v>1616</v>
      </c>
    </row>
    <row r="56" spans="1:18" x14ac:dyDescent="0.25">
      <c r="A56" s="392" t="s">
        <v>1528</v>
      </c>
      <c r="B56" s="647"/>
      <c r="C56" s="1916">
        <v>0</v>
      </c>
      <c r="D56" s="1916">
        <v>0</v>
      </c>
      <c r="E56" s="1916">
        <v>9.3132257461547852E-10</v>
      </c>
      <c r="F56" s="1916">
        <v>1.862645149230957E-9</v>
      </c>
      <c r="G56" s="1916">
        <v>0</v>
      </c>
      <c r="H56" s="1916">
        <v>9.3132257461547852E-10</v>
      </c>
      <c r="I56" s="1916">
        <v>-9.3132257461547852E-10</v>
      </c>
      <c r="J56" s="1916">
        <v>4.6566128730773926E-10</v>
      </c>
      <c r="K56" s="1916">
        <v>0</v>
      </c>
      <c r="L56" s="1916">
        <v>0</v>
      </c>
      <c r="M56" s="1916">
        <v>0</v>
      </c>
      <c r="N56" s="1916">
        <v>1.1175870895385742E-8</v>
      </c>
      <c r="O56" s="692">
        <v>0</v>
      </c>
      <c r="P56" s="692">
        <v>0</v>
      </c>
      <c r="Q56" s="692">
        <v>1.4901161193847656E-8</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enableFormatConditionsCalculation="0">
    <tabColor indexed="42"/>
    <pageSetUpPr fitToPage="1"/>
  </sheetPr>
  <dimension ref="A1:T47"/>
  <sheetViews>
    <sheetView showGridLines="0" tabSelected="1" workbookViewId="0">
      <pane xSplit="2" ySplit="3" topLeftCell="C17"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14" width="8.28515625" style="338" customWidth="1"/>
    <col min="15" max="15" width="9.28515625" style="338" customWidth="1"/>
    <col min="16" max="17" width="9.28515625" style="148" customWidth="1"/>
    <col min="18" max="16384" width="9.140625" style="148"/>
  </cols>
  <sheetData>
    <row r="1" spans="1:17" ht="13.5" customHeight="1" x14ac:dyDescent="0.25">
      <c r="A1" s="146" t="s">
        <v>2552</v>
      </c>
      <c r="B1" s="146"/>
      <c r="C1" s="1997"/>
      <c r="D1" s="1997"/>
      <c r="E1" s="1997"/>
      <c r="F1" s="1997"/>
      <c r="G1" s="1997"/>
      <c r="H1" s="1997"/>
      <c r="I1" s="1997"/>
      <c r="J1" s="1997"/>
      <c r="K1" s="1997"/>
      <c r="L1" s="1997"/>
      <c r="M1" s="1997"/>
      <c r="N1" s="1997"/>
      <c r="O1" s="1997"/>
      <c r="P1" s="146"/>
      <c r="Q1" s="146"/>
    </row>
    <row r="2" spans="1:17" ht="27"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7" ht="25.5" x14ac:dyDescent="0.25">
      <c r="A3" s="793" t="s">
        <v>667</v>
      </c>
      <c r="B3" s="798"/>
      <c r="C3" s="2004" t="s">
        <v>725</v>
      </c>
      <c r="D3" s="741" t="s">
        <v>1416</v>
      </c>
      <c r="E3" s="741" t="s">
        <v>1417</v>
      </c>
      <c r="F3" s="741" t="s">
        <v>1418</v>
      </c>
      <c r="G3" s="741" t="s">
        <v>423</v>
      </c>
      <c r="H3" s="741" t="s">
        <v>424</v>
      </c>
      <c r="I3" s="741" t="s">
        <v>708</v>
      </c>
      <c r="J3" s="741" t="s">
        <v>425</v>
      </c>
      <c r="K3" s="741" t="s">
        <v>710</v>
      </c>
      <c r="L3" s="741" t="s">
        <v>711</v>
      </c>
      <c r="M3" s="741" t="s">
        <v>712</v>
      </c>
      <c r="N3" s="2018" t="s">
        <v>713</v>
      </c>
      <c r="O3" s="2004" t="s">
        <v>2483</v>
      </c>
      <c r="P3" s="353" t="s">
        <v>2484</v>
      </c>
      <c r="Q3" s="354" t="s">
        <v>2485</v>
      </c>
    </row>
    <row r="4" spans="1:17" x14ac:dyDescent="0.25">
      <c r="A4" s="180" t="s">
        <v>354</v>
      </c>
      <c r="B4" s="794">
        <v>1</v>
      </c>
      <c r="C4" s="246"/>
      <c r="D4" s="205"/>
      <c r="E4" s="205"/>
      <c r="F4" s="205"/>
      <c r="G4" s="205"/>
      <c r="H4" s="205"/>
      <c r="I4" s="205"/>
      <c r="J4" s="205"/>
      <c r="K4" s="205"/>
      <c r="L4" s="205"/>
      <c r="M4" s="205"/>
      <c r="N4" s="208"/>
      <c r="O4" s="246"/>
      <c r="P4" s="201"/>
      <c r="Q4" s="202"/>
    </row>
    <row r="5" spans="1:17" x14ac:dyDescent="0.25">
      <c r="A5" s="909" t="s">
        <v>2374</v>
      </c>
      <c r="B5" s="682"/>
      <c r="C5" s="1066">
        <v>0</v>
      </c>
      <c r="D5" s="1030">
        <v>0</v>
      </c>
      <c r="E5" s="1030">
        <v>0</v>
      </c>
      <c r="F5" s="1030">
        <v>0</v>
      </c>
      <c r="G5" s="1030">
        <v>0</v>
      </c>
      <c r="H5" s="1030">
        <v>0</v>
      </c>
      <c r="I5" s="1030">
        <v>0</v>
      </c>
      <c r="J5" s="1030">
        <v>0</v>
      </c>
      <c r="K5" s="1030">
        <v>0</v>
      </c>
      <c r="L5" s="1030">
        <v>0</v>
      </c>
      <c r="M5" s="1030">
        <v>0</v>
      </c>
      <c r="N5" s="208">
        <v>0</v>
      </c>
      <c r="O5" s="246">
        <v>0</v>
      </c>
      <c r="P5" s="201">
        <v>0</v>
      </c>
      <c r="Q5" s="202">
        <v>0</v>
      </c>
    </row>
    <row r="6" spans="1:17" x14ac:dyDescent="0.25">
      <c r="A6" s="909" t="s">
        <v>2375</v>
      </c>
      <c r="B6" s="682"/>
      <c r="C6" s="1066">
        <v>0</v>
      </c>
      <c r="D6" s="1030">
        <v>0</v>
      </c>
      <c r="E6" s="1030">
        <v>0</v>
      </c>
      <c r="F6" s="1030">
        <v>0</v>
      </c>
      <c r="G6" s="1030">
        <v>0</v>
      </c>
      <c r="H6" s="1030">
        <v>0</v>
      </c>
      <c r="I6" s="1030">
        <v>0</v>
      </c>
      <c r="J6" s="1030">
        <v>0</v>
      </c>
      <c r="K6" s="1030">
        <v>0</v>
      </c>
      <c r="L6" s="1030">
        <v>0</v>
      </c>
      <c r="M6" s="1030">
        <v>0</v>
      </c>
      <c r="N6" s="208">
        <v>0</v>
      </c>
      <c r="O6" s="246">
        <v>0</v>
      </c>
      <c r="P6" s="201">
        <v>0</v>
      </c>
      <c r="Q6" s="202">
        <v>0</v>
      </c>
    </row>
    <row r="7" spans="1:17" x14ac:dyDescent="0.25">
      <c r="A7" s="909" t="s">
        <v>2376</v>
      </c>
      <c r="B7" s="682"/>
      <c r="C7" s="1066">
        <v>0</v>
      </c>
      <c r="D7" s="1030">
        <v>0</v>
      </c>
      <c r="E7" s="1030">
        <v>0</v>
      </c>
      <c r="F7" s="1030">
        <v>0</v>
      </c>
      <c r="G7" s="1030">
        <v>0</v>
      </c>
      <c r="H7" s="1030">
        <v>0</v>
      </c>
      <c r="I7" s="1030">
        <v>0</v>
      </c>
      <c r="J7" s="1030">
        <v>0</v>
      </c>
      <c r="K7" s="1030">
        <v>0</v>
      </c>
      <c r="L7" s="1030">
        <v>0</v>
      </c>
      <c r="M7" s="1030">
        <v>0</v>
      </c>
      <c r="N7" s="208">
        <v>0</v>
      </c>
      <c r="O7" s="246">
        <v>0</v>
      </c>
      <c r="P7" s="201">
        <v>0</v>
      </c>
      <c r="Q7" s="202">
        <v>0</v>
      </c>
    </row>
    <row r="8" spans="1:17" x14ac:dyDescent="0.25">
      <c r="A8" s="909" t="s">
        <v>2377</v>
      </c>
      <c r="B8" s="682"/>
      <c r="C8" s="1066">
        <v>0</v>
      </c>
      <c r="D8" s="1030">
        <v>0</v>
      </c>
      <c r="E8" s="1030">
        <v>0</v>
      </c>
      <c r="F8" s="1030">
        <v>0</v>
      </c>
      <c r="G8" s="1030">
        <v>0</v>
      </c>
      <c r="H8" s="1030">
        <v>0</v>
      </c>
      <c r="I8" s="1030">
        <v>0</v>
      </c>
      <c r="J8" s="1030">
        <v>0</v>
      </c>
      <c r="K8" s="1030">
        <v>0</v>
      </c>
      <c r="L8" s="1030">
        <v>0</v>
      </c>
      <c r="M8" s="1030">
        <v>0</v>
      </c>
      <c r="N8" s="208">
        <v>0</v>
      </c>
      <c r="O8" s="246">
        <v>0</v>
      </c>
      <c r="P8" s="201">
        <v>0</v>
      </c>
      <c r="Q8" s="202">
        <v>0</v>
      </c>
    </row>
    <row r="9" spans="1:17" x14ac:dyDescent="0.25">
      <c r="A9" s="909" t="s">
        <v>2378</v>
      </c>
      <c r="B9" s="682"/>
      <c r="C9" s="1066">
        <v>0</v>
      </c>
      <c r="D9" s="1030">
        <v>0</v>
      </c>
      <c r="E9" s="1030">
        <v>0</v>
      </c>
      <c r="F9" s="1030">
        <v>0</v>
      </c>
      <c r="G9" s="1030">
        <v>0</v>
      </c>
      <c r="H9" s="1030">
        <v>0</v>
      </c>
      <c r="I9" s="1030">
        <v>0</v>
      </c>
      <c r="J9" s="1030">
        <v>0</v>
      </c>
      <c r="K9" s="1030">
        <v>0</v>
      </c>
      <c r="L9" s="1030">
        <v>0</v>
      </c>
      <c r="M9" s="1030">
        <v>0</v>
      </c>
      <c r="N9" s="208">
        <v>0</v>
      </c>
      <c r="O9" s="246">
        <v>0</v>
      </c>
      <c r="P9" s="201">
        <v>0</v>
      </c>
      <c r="Q9" s="202">
        <v>0</v>
      </c>
    </row>
    <row r="10" spans="1:17" x14ac:dyDescent="0.25">
      <c r="A10" s="909" t="s">
        <v>2379</v>
      </c>
      <c r="B10" s="682"/>
      <c r="C10" s="1066">
        <v>0</v>
      </c>
      <c r="D10" s="1030">
        <v>0</v>
      </c>
      <c r="E10" s="1030">
        <v>0</v>
      </c>
      <c r="F10" s="1030">
        <v>0</v>
      </c>
      <c r="G10" s="1030">
        <v>0</v>
      </c>
      <c r="H10" s="1030">
        <v>0</v>
      </c>
      <c r="I10" s="1030">
        <v>0</v>
      </c>
      <c r="J10" s="1030">
        <v>0</v>
      </c>
      <c r="K10" s="1030">
        <v>0</v>
      </c>
      <c r="L10" s="1030">
        <v>0</v>
      </c>
      <c r="M10" s="1030">
        <v>0</v>
      </c>
      <c r="N10" s="208">
        <v>0</v>
      </c>
      <c r="O10" s="246">
        <v>0</v>
      </c>
      <c r="P10" s="201">
        <v>0</v>
      </c>
      <c r="Q10" s="202">
        <v>0</v>
      </c>
    </row>
    <row r="11" spans="1:17" x14ac:dyDescent="0.25">
      <c r="A11" s="909" t="s">
        <v>2380</v>
      </c>
      <c r="B11" s="682"/>
      <c r="C11" s="1066">
        <v>0</v>
      </c>
      <c r="D11" s="1030">
        <v>0</v>
      </c>
      <c r="E11" s="1030">
        <v>0</v>
      </c>
      <c r="F11" s="1030">
        <v>0</v>
      </c>
      <c r="G11" s="1030">
        <v>0</v>
      </c>
      <c r="H11" s="1030">
        <v>0</v>
      </c>
      <c r="I11" s="1030">
        <v>0</v>
      </c>
      <c r="J11" s="1030">
        <v>0</v>
      </c>
      <c r="K11" s="1030">
        <v>0</v>
      </c>
      <c r="L11" s="1030">
        <v>0</v>
      </c>
      <c r="M11" s="1030">
        <v>0</v>
      </c>
      <c r="N11" s="208">
        <v>0</v>
      </c>
      <c r="O11" s="246">
        <v>0</v>
      </c>
      <c r="P11" s="201">
        <v>0</v>
      </c>
      <c r="Q11" s="202">
        <v>0</v>
      </c>
    </row>
    <row r="12" spans="1:17" x14ac:dyDescent="0.25">
      <c r="A12" s="909" t="s">
        <v>2381</v>
      </c>
      <c r="B12" s="682"/>
      <c r="C12" s="1066">
        <v>0</v>
      </c>
      <c r="D12" s="1030">
        <v>0</v>
      </c>
      <c r="E12" s="1030">
        <v>0</v>
      </c>
      <c r="F12" s="1030">
        <v>0</v>
      </c>
      <c r="G12" s="1030">
        <v>0</v>
      </c>
      <c r="H12" s="1030">
        <v>0</v>
      </c>
      <c r="I12" s="1030">
        <v>0</v>
      </c>
      <c r="J12" s="1030">
        <v>0</v>
      </c>
      <c r="K12" s="1030">
        <v>0</v>
      </c>
      <c r="L12" s="1030">
        <v>0</v>
      </c>
      <c r="M12" s="1030">
        <v>0</v>
      </c>
      <c r="N12" s="208">
        <v>0</v>
      </c>
      <c r="O12" s="246">
        <v>0</v>
      </c>
      <c r="P12" s="201">
        <v>0</v>
      </c>
      <c r="Q12" s="202">
        <v>0</v>
      </c>
    </row>
    <row r="13" spans="1:17" x14ac:dyDescent="0.25">
      <c r="A13" s="909" t="s">
        <v>2382</v>
      </c>
      <c r="B13" s="682"/>
      <c r="C13" s="1066">
        <v>0</v>
      </c>
      <c r="D13" s="1030">
        <v>0</v>
      </c>
      <c r="E13" s="1030">
        <v>0</v>
      </c>
      <c r="F13" s="1030">
        <v>0</v>
      </c>
      <c r="G13" s="1030">
        <v>0</v>
      </c>
      <c r="H13" s="1030">
        <v>0</v>
      </c>
      <c r="I13" s="1030">
        <v>0</v>
      </c>
      <c r="J13" s="1030">
        <v>0</v>
      </c>
      <c r="K13" s="1030">
        <v>0</v>
      </c>
      <c r="L13" s="1030">
        <v>0</v>
      </c>
      <c r="M13" s="1030">
        <v>0</v>
      </c>
      <c r="N13" s="208">
        <v>0</v>
      </c>
      <c r="O13" s="246">
        <v>0</v>
      </c>
      <c r="P13" s="201">
        <v>0</v>
      </c>
      <c r="Q13" s="202">
        <v>0</v>
      </c>
    </row>
    <row r="14" spans="1:17" x14ac:dyDescent="0.25">
      <c r="A14" s="909" t="s">
        <v>2383</v>
      </c>
      <c r="B14" s="682"/>
      <c r="C14" s="1066">
        <v>0</v>
      </c>
      <c r="D14" s="1030">
        <v>0</v>
      </c>
      <c r="E14" s="1030">
        <v>0</v>
      </c>
      <c r="F14" s="1030">
        <v>0</v>
      </c>
      <c r="G14" s="1030">
        <v>0</v>
      </c>
      <c r="H14" s="1030">
        <v>0</v>
      </c>
      <c r="I14" s="1030">
        <v>0</v>
      </c>
      <c r="J14" s="1030">
        <v>0</v>
      </c>
      <c r="K14" s="1030">
        <v>0</v>
      </c>
      <c r="L14" s="1030">
        <v>0</v>
      </c>
      <c r="M14" s="1030">
        <v>0</v>
      </c>
      <c r="N14" s="208">
        <v>0</v>
      </c>
      <c r="O14" s="246">
        <v>0</v>
      </c>
      <c r="P14" s="201">
        <v>0</v>
      </c>
      <c r="Q14" s="202">
        <v>0</v>
      </c>
    </row>
    <row r="15" spans="1:17" x14ac:dyDescent="0.25">
      <c r="A15" s="909" t="s">
        <v>2492</v>
      </c>
      <c r="B15" s="682"/>
      <c r="C15" s="1066"/>
      <c r="D15" s="1030"/>
      <c r="E15" s="1030"/>
      <c r="F15" s="1030"/>
      <c r="G15" s="1030"/>
      <c r="H15" s="1030"/>
      <c r="I15" s="1030"/>
      <c r="J15" s="1030"/>
      <c r="K15" s="1030"/>
      <c r="L15" s="1030"/>
      <c r="M15" s="1030"/>
      <c r="N15" s="208">
        <v>0</v>
      </c>
      <c r="O15" s="246">
        <v>0</v>
      </c>
      <c r="P15" s="201">
        <v>0</v>
      </c>
      <c r="Q15" s="202">
        <v>0</v>
      </c>
    </row>
    <row r="16" spans="1:17" x14ac:dyDescent="0.25">
      <c r="A16" s="909" t="s">
        <v>2493</v>
      </c>
      <c r="B16" s="682"/>
      <c r="C16" s="1066"/>
      <c r="D16" s="1030"/>
      <c r="E16" s="1030"/>
      <c r="F16" s="1030"/>
      <c r="G16" s="1030"/>
      <c r="H16" s="1030"/>
      <c r="I16" s="1030"/>
      <c r="J16" s="1030"/>
      <c r="K16" s="1030"/>
      <c r="L16" s="1030"/>
      <c r="M16" s="1030"/>
      <c r="N16" s="208">
        <v>0</v>
      </c>
      <c r="O16" s="246">
        <v>0</v>
      </c>
      <c r="P16" s="201">
        <v>0</v>
      </c>
      <c r="Q16" s="202">
        <v>0</v>
      </c>
    </row>
    <row r="17" spans="1:17" x14ac:dyDescent="0.25">
      <c r="A17" s="909" t="s">
        <v>2494</v>
      </c>
      <c r="B17" s="682"/>
      <c r="C17" s="1066"/>
      <c r="D17" s="1030"/>
      <c r="E17" s="1030"/>
      <c r="F17" s="1030"/>
      <c r="G17" s="1030"/>
      <c r="H17" s="1030"/>
      <c r="I17" s="1030"/>
      <c r="J17" s="1030"/>
      <c r="K17" s="1030"/>
      <c r="L17" s="1030"/>
      <c r="M17" s="1030"/>
      <c r="N17" s="208">
        <v>0</v>
      </c>
      <c r="O17" s="246">
        <v>0</v>
      </c>
      <c r="P17" s="201">
        <v>0</v>
      </c>
      <c r="Q17" s="202">
        <v>0</v>
      </c>
    </row>
    <row r="18" spans="1:17" x14ac:dyDescent="0.25">
      <c r="A18" s="909" t="s">
        <v>2495</v>
      </c>
      <c r="B18" s="682"/>
      <c r="C18" s="1066"/>
      <c r="D18" s="1030"/>
      <c r="E18" s="1030"/>
      <c r="F18" s="1030"/>
      <c r="G18" s="1030"/>
      <c r="H18" s="1030"/>
      <c r="I18" s="1030"/>
      <c r="J18" s="1030"/>
      <c r="K18" s="1030"/>
      <c r="L18" s="1030"/>
      <c r="M18" s="1030"/>
      <c r="N18" s="208">
        <v>0</v>
      </c>
      <c r="O18" s="246">
        <v>0</v>
      </c>
      <c r="P18" s="201">
        <v>0</v>
      </c>
      <c r="Q18" s="202">
        <v>0</v>
      </c>
    </row>
    <row r="19" spans="1:17" x14ac:dyDescent="0.25">
      <c r="A19" s="909" t="s">
        <v>2496</v>
      </c>
      <c r="B19" s="682"/>
      <c r="C19" s="1066"/>
      <c r="D19" s="1030"/>
      <c r="E19" s="1030"/>
      <c r="F19" s="1030"/>
      <c r="G19" s="1030"/>
      <c r="H19" s="1030"/>
      <c r="I19" s="1030"/>
      <c r="J19" s="1030"/>
      <c r="K19" s="1030"/>
      <c r="L19" s="1030"/>
      <c r="M19" s="1030"/>
      <c r="N19" s="208">
        <v>0</v>
      </c>
      <c r="O19" s="246">
        <v>0</v>
      </c>
      <c r="P19" s="201">
        <v>0</v>
      </c>
      <c r="Q19" s="202">
        <v>0</v>
      </c>
    </row>
    <row r="20" spans="1:17" x14ac:dyDescent="0.25">
      <c r="A20" s="196" t="s">
        <v>197</v>
      </c>
      <c r="B20" s="1027">
        <v>2</v>
      </c>
      <c r="C20" s="261">
        <v>0</v>
      </c>
      <c r="D20" s="259">
        <v>0</v>
      </c>
      <c r="E20" s="259">
        <v>0</v>
      </c>
      <c r="F20" s="259">
        <v>0</v>
      </c>
      <c r="G20" s="259">
        <v>0</v>
      </c>
      <c r="H20" s="259">
        <v>0</v>
      </c>
      <c r="I20" s="259">
        <v>0</v>
      </c>
      <c r="J20" s="259">
        <v>0</v>
      </c>
      <c r="K20" s="259">
        <v>0</v>
      </c>
      <c r="L20" s="259">
        <v>0</v>
      </c>
      <c r="M20" s="259">
        <v>0</v>
      </c>
      <c r="N20" s="258">
        <v>0</v>
      </c>
      <c r="O20" s="261">
        <v>0</v>
      </c>
      <c r="P20" s="259">
        <v>0</v>
      </c>
      <c r="Q20" s="260">
        <v>0</v>
      </c>
    </row>
    <row r="21" spans="1:17" ht="3.75" customHeight="1" x14ac:dyDescent="0.25">
      <c r="A21" s="1025"/>
      <c r="B21" s="1026"/>
      <c r="C21" s="358"/>
      <c r="D21" s="357"/>
      <c r="E21" s="357"/>
      <c r="F21" s="357"/>
      <c r="G21" s="357"/>
      <c r="H21" s="357"/>
      <c r="I21" s="357"/>
      <c r="J21" s="357"/>
      <c r="K21" s="357"/>
      <c r="L21" s="357"/>
      <c r="M21" s="357"/>
      <c r="N21" s="359"/>
      <c r="O21" s="358"/>
      <c r="P21" s="357"/>
      <c r="Q21" s="313"/>
    </row>
    <row r="22" spans="1:17" x14ac:dyDescent="0.25">
      <c r="A22" s="180" t="s">
        <v>932</v>
      </c>
      <c r="B22" s="794"/>
      <c r="C22" s="246"/>
      <c r="D22" s="205"/>
      <c r="E22" s="205"/>
      <c r="F22" s="205"/>
      <c r="G22" s="205"/>
      <c r="H22" s="205"/>
      <c r="I22" s="205"/>
      <c r="J22" s="205"/>
      <c r="K22" s="205"/>
      <c r="L22" s="205"/>
      <c r="M22" s="205"/>
      <c r="N22" s="208"/>
      <c r="O22" s="246"/>
      <c r="P22" s="201"/>
      <c r="Q22" s="202"/>
    </row>
    <row r="23" spans="1:17" x14ac:dyDescent="0.25">
      <c r="A23" s="909" t="s">
        <v>2374</v>
      </c>
      <c r="B23" s="682"/>
      <c r="C23" s="1066">
        <v>37500</v>
      </c>
      <c r="D23" s="1030">
        <v>37500</v>
      </c>
      <c r="E23" s="1030">
        <v>37500</v>
      </c>
      <c r="F23" s="1030">
        <v>37500</v>
      </c>
      <c r="G23" s="1030">
        <v>0</v>
      </c>
      <c r="H23" s="1030">
        <v>0</v>
      </c>
      <c r="I23" s="1030">
        <v>0</v>
      </c>
      <c r="J23" s="1030">
        <v>0</v>
      </c>
      <c r="K23" s="1030">
        <v>0</v>
      </c>
      <c r="L23" s="1030">
        <v>0</v>
      </c>
      <c r="M23" s="1030">
        <v>0</v>
      </c>
      <c r="N23" s="208">
        <v>0</v>
      </c>
      <c r="O23" s="246">
        <v>150000</v>
      </c>
      <c r="P23" s="201">
        <v>159000</v>
      </c>
      <c r="Q23" s="202">
        <v>168540</v>
      </c>
    </row>
    <row r="24" spans="1:17" x14ac:dyDescent="0.25">
      <c r="A24" s="909" t="s">
        <v>2375</v>
      </c>
      <c r="B24" s="682"/>
      <c r="C24" s="1066">
        <v>0</v>
      </c>
      <c r="D24" s="1030">
        <v>0</v>
      </c>
      <c r="E24" s="1030">
        <v>0</v>
      </c>
      <c r="F24" s="1030">
        <v>0</v>
      </c>
      <c r="G24" s="1030">
        <v>0</v>
      </c>
      <c r="H24" s="1030">
        <v>390000</v>
      </c>
      <c r="I24" s="1030">
        <v>473333.33333333331</v>
      </c>
      <c r="J24" s="1030">
        <v>473333.33333333331</v>
      </c>
      <c r="K24" s="1030">
        <v>473333.33333333331</v>
      </c>
      <c r="L24" s="1030">
        <v>0</v>
      </c>
      <c r="M24" s="1030">
        <v>297500</v>
      </c>
      <c r="N24" s="208">
        <v>297500</v>
      </c>
      <c r="O24" s="246">
        <v>2405000</v>
      </c>
      <c r="P24" s="201">
        <v>895700</v>
      </c>
      <c r="Q24" s="202">
        <v>949442</v>
      </c>
    </row>
    <row r="25" spans="1:17" x14ac:dyDescent="0.25">
      <c r="A25" s="909" t="s">
        <v>2376</v>
      </c>
      <c r="B25" s="682"/>
      <c r="C25" s="1066">
        <v>0</v>
      </c>
      <c r="D25" s="1030">
        <v>0</v>
      </c>
      <c r="E25" s="1030">
        <v>0</v>
      </c>
      <c r="F25" s="1030">
        <v>0</v>
      </c>
      <c r="G25" s="1030">
        <v>0</v>
      </c>
      <c r="H25" s="1030">
        <v>0</v>
      </c>
      <c r="I25" s="1030">
        <v>0</v>
      </c>
      <c r="J25" s="1030">
        <v>0</v>
      </c>
      <c r="K25" s="1030">
        <v>0</v>
      </c>
      <c r="L25" s="1030">
        <v>0</v>
      </c>
      <c r="M25" s="1030">
        <v>0</v>
      </c>
      <c r="N25" s="208">
        <v>0</v>
      </c>
      <c r="O25" s="246">
        <v>0</v>
      </c>
      <c r="P25" s="201">
        <v>0</v>
      </c>
      <c r="Q25" s="202">
        <v>0</v>
      </c>
    </row>
    <row r="26" spans="1:17" x14ac:dyDescent="0.25">
      <c r="A26" s="909" t="s">
        <v>2377</v>
      </c>
      <c r="B26" s="682"/>
      <c r="C26" s="1066">
        <v>0</v>
      </c>
      <c r="D26" s="1030">
        <v>102500</v>
      </c>
      <c r="E26" s="1030">
        <v>102500</v>
      </c>
      <c r="F26" s="1030">
        <v>102500</v>
      </c>
      <c r="G26" s="1030">
        <v>102500</v>
      </c>
      <c r="H26" s="1030">
        <v>16666.666666666668</v>
      </c>
      <c r="I26" s="1030">
        <v>16666.666666666668</v>
      </c>
      <c r="J26" s="1030">
        <v>16666.666666666668</v>
      </c>
      <c r="K26" s="1030">
        <v>0</v>
      </c>
      <c r="L26" s="1030">
        <v>0</v>
      </c>
      <c r="M26" s="1030">
        <v>0</v>
      </c>
      <c r="N26" s="208">
        <v>0</v>
      </c>
      <c r="O26" s="246">
        <v>460000</v>
      </c>
      <c r="P26" s="201">
        <v>487600</v>
      </c>
      <c r="Q26" s="202">
        <v>516856</v>
      </c>
    </row>
    <row r="27" spans="1:17" x14ac:dyDescent="0.25">
      <c r="A27" s="909" t="s">
        <v>2378</v>
      </c>
      <c r="B27" s="682"/>
      <c r="C27" s="1066">
        <v>0</v>
      </c>
      <c r="D27" s="1030">
        <v>0</v>
      </c>
      <c r="E27" s="1030">
        <v>0</v>
      </c>
      <c r="F27" s="1030">
        <v>0</v>
      </c>
      <c r="G27" s="1030">
        <v>0</v>
      </c>
      <c r="H27" s="1030">
        <v>0</v>
      </c>
      <c r="I27" s="1030">
        <v>0</v>
      </c>
      <c r="J27" s="1030">
        <v>0</v>
      </c>
      <c r="K27" s="1030">
        <v>0</v>
      </c>
      <c r="L27" s="1030">
        <v>0</v>
      </c>
      <c r="M27" s="1030">
        <v>0</v>
      </c>
      <c r="N27" s="208">
        <v>0</v>
      </c>
      <c r="O27" s="246">
        <v>0</v>
      </c>
      <c r="P27" s="201">
        <v>0</v>
      </c>
      <c r="Q27" s="202">
        <v>0</v>
      </c>
    </row>
    <row r="28" spans="1:17" x14ac:dyDescent="0.25">
      <c r="A28" s="909" t="s">
        <v>2379</v>
      </c>
      <c r="B28" s="682"/>
      <c r="C28" s="1066">
        <v>0</v>
      </c>
      <c r="D28" s="1030">
        <v>0</v>
      </c>
      <c r="E28" s="1030">
        <v>0</v>
      </c>
      <c r="F28" s="1030">
        <v>0</v>
      </c>
      <c r="G28" s="1030">
        <v>0</v>
      </c>
      <c r="H28" s="1030">
        <v>1537900</v>
      </c>
      <c r="I28" s="1030">
        <v>1537900</v>
      </c>
      <c r="J28" s="1030">
        <v>1537900</v>
      </c>
      <c r="K28" s="1030">
        <v>0</v>
      </c>
      <c r="L28" s="1030">
        <v>0</v>
      </c>
      <c r="M28" s="1030">
        <v>0</v>
      </c>
      <c r="N28" s="208">
        <v>0</v>
      </c>
      <c r="O28" s="246">
        <v>4613700</v>
      </c>
      <c r="P28" s="201">
        <v>7500000</v>
      </c>
      <c r="Q28" s="202">
        <v>12843000</v>
      </c>
    </row>
    <row r="29" spans="1:17" x14ac:dyDescent="0.25">
      <c r="A29" s="909" t="s">
        <v>2380</v>
      </c>
      <c r="B29" s="682"/>
      <c r="C29" s="1066">
        <v>0</v>
      </c>
      <c r="D29" s="1030">
        <v>0</v>
      </c>
      <c r="E29" s="1030">
        <v>0</v>
      </c>
      <c r="F29" s="1030">
        <v>0</v>
      </c>
      <c r="G29" s="1030">
        <v>0</v>
      </c>
      <c r="H29" s="1030">
        <v>0</v>
      </c>
      <c r="I29" s="1030">
        <v>0</v>
      </c>
      <c r="J29" s="1030">
        <v>0</v>
      </c>
      <c r="K29" s="1030">
        <v>0</v>
      </c>
      <c r="L29" s="1030">
        <v>0</v>
      </c>
      <c r="M29" s="1030">
        <v>0</v>
      </c>
      <c r="N29" s="208">
        <v>0</v>
      </c>
      <c r="O29" s="246">
        <v>0</v>
      </c>
      <c r="P29" s="201">
        <v>0</v>
      </c>
      <c r="Q29" s="202">
        <v>0</v>
      </c>
    </row>
    <row r="30" spans="1:17" x14ac:dyDescent="0.25">
      <c r="A30" s="909" t="s">
        <v>2381</v>
      </c>
      <c r="B30" s="682"/>
      <c r="C30" s="1066">
        <v>0</v>
      </c>
      <c r="D30" s="1030">
        <v>0</v>
      </c>
      <c r="E30" s="1030">
        <v>0</v>
      </c>
      <c r="F30" s="1030">
        <v>0</v>
      </c>
      <c r="G30" s="1030">
        <v>0</v>
      </c>
      <c r="H30" s="1030">
        <v>0</v>
      </c>
      <c r="I30" s="1030">
        <v>0</v>
      </c>
      <c r="J30" s="1030">
        <v>0</v>
      </c>
      <c r="K30" s="1030">
        <v>0</v>
      </c>
      <c r="L30" s="1030">
        <v>0</v>
      </c>
      <c r="M30" s="1030">
        <v>0</v>
      </c>
      <c r="N30" s="208">
        <v>0</v>
      </c>
      <c r="O30" s="246">
        <v>0</v>
      </c>
      <c r="P30" s="201">
        <v>0</v>
      </c>
      <c r="Q30" s="202">
        <v>0</v>
      </c>
    </row>
    <row r="31" spans="1:17" x14ac:dyDescent="0.25">
      <c r="A31" s="909" t="s">
        <v>2382</v>
      </c>
      <c r="B31" s="682"/>
      <c r="C31" s="1066">
        <v>0</v>
      </c>
      <c r="D31" s="1030">
        <v>0</v>
      </c>
      <c r="E31" s="1030">
        <v>0</v>
      </c>
      <c r="F31" s="1030">
        <v>0</v>
      </c>
      <c r="G31" s="1030">
        <v>0</v>
      </c>
      <c r="H31" s="1030">
        <v>0</v>
      </c>
      <c r="I31" s="1030">
        <v>0</v>
      </c>
      <c r="J31" s="1030">
        <v>1067260</v>
      </c>
      <c r="K31" s="1030">
        <v>1067260</v>
      </c>
      <c r="L31" s="1030">
        <v>1067260</v>
      </c>
      <c r="M31" s="1030">
        <v>1067260</v>
      </c>
      <c r="N31" s="208">
        <v>1067260</v>
      </c>
      <c r="O31" s="246">
        <v>5336300</v>
      </c>
      <c r="P31" s="201">
        <v>3700000</v>
      </c>
      <c r="Q31" s="202">
        <v>0</v>
      </c>
    </row>
    <row r="32" spans="1:17" x14ac:dyDescent="0.25">
      <c r="A32" s="909" t="s">
        <v>2383</v>
      </c>
      <c r="B32" s="682"/>
      <c r="C32" s="1066">
        <v>0</v>
      </c>
      <c r="D32" s="1030">
        <v>0</v>
      </c>
      <c r="E32" s="1030">
        <v>0</v>
      </c>
      <c r="F32" s="1030">
        <v>0</v>
      </c>
      <c r="G32" s="1030">
        <v>0</v>
      </c>
      <c r="H32" s="1030">
        <v>0</v>
      </c>
      <c r="I32" s="1030">
        <v>0</v>
      </c>
      <c r="J32" s="1030">
        <v>0</v>
      </c>
      <c r="K32" s="1030">
        <v>0</v>
      </c>
      <c r="L32" s="1030">
        <v>0</v>
      </c>
      <c r="M32" s="1030">
        <v>0</v>
      </c>
      <c r="N32" s="208">
        <v>0</v>
      </c>
      <c r="O32" s="246">
        <v>0</v>
      </c>
      <c r="P32" s="201">
        <v>1750000</v>
      </c>
      <c r="Q32" s="202">
        <v>0</v>
      </c>
    </row>
    <row r="33" spans="1:20" x14ac:dyDescent="0.25">
      <c r="A33" s="909" t="s">
        <v>2492</v>
      </c>
      <c r="B33" s="682"/>
      <c r="C33" s="1066"/>
      <c r="D33" s="1030"/>
      <c r="E33" s="1030"/>
      <c r="F33" s="1030"/>
      <c r="G33" s="1030"/>
      <c r="H33" s="1030"/>
      <c r="I33" s="1030"/>
      <c r="J33" s="1030"/>
      <c r="K33" s="1030"/>
      <c r="L33" s="1030"/>
      <c r="M33" s="1030"/>
      <c r="N33" s="208">
        <v>0</v>
      </c>
      <c r="O33" s="246">
        <v>0</v>
      </c>
      <c r="P33" s="201">
        <v>0</v>
      </c>
      <c r="Q33" s="202">
        <v>0</v>
      </c>
    </row>
    <row r="34" spans="1:20" x14ac:dyDescent="0.25">
      <c r="A34" s="909" t="s">
        <v>2493</v>
      </c>
      <c r="B34" s="682"/>
      <c r="C34" s="1066"/>
      <c r="D34" s="1030"/>
      <c r="E34" s="1030"/>
      <c r="F34" s="1030"/>
      <c r="G34" s="1030"/>
      <c r="H34" s="1030"/>
      <c r="I34" s="1030"/>
      <c r="J34" s="1030"/>
      <c r="K34" s="1030"/>
      <c r="L34" s="1030"/>
      <c r="M34" s="1030"/>
      <c r="N34" s="208">
        <v>0</v>
      </c>
      <c r="O34" s="246">
        <v>0</v>
      </c>
      <c r="P34" s="201">
        <v>0</v>
      </c>
      <c r="Q34" s="202">
        <v>0</v>
      </c>
    </row>
    <row r="35" spans="1:20" x14ac:dyDescent="0.25">
      <c r="A35" s="909" t="s">
        <v>2494</v>
      </c>
      <c r="B35" s="682"/>
      <c r="C35" s="1066"/>
      <c r="D35" s="1030"/>
      <c r="E35" s="1030"/>
      <c r="F35" s="1030"/>
      <c r="G35" s="1030"/>
      <c r="H35" s="1030"/>
      <c r="I35" s="1030"/>
      <c r="J35" s="1030"/>
      <c r="K35" s="1030"/>
      <c r="L35" s="1030"/>
      <c r="M35" s="1030"/>
      <c r="N35" s="208">
        <v>0</v>
      </c>
      <c r="O35" s="246">
        <v>0</v>
      </c>
      <c r="P35" s="201">
        <v>0</v>
      </c>
      <c r="Q35" s="202">
        <v>0</v>
      </c>
    </row>
    <row r="36" spans="1:20" x14ac:dyDescent="0.25">
      <c r="A36" s="909" t="s">
        <v>2495</v>
      </c>
      <c r="B36" s="682"/>
      <c r="C36" s="1066"/>
      <c r="D36" s="1030"/>
      <c r="E36" s="1030"/>
      <c r="F36" s="1030"/>
      <c r="G36" s="1030"/>
      <c r="H36" s="1030"/>
      <c r="I36" s="1030"/>
      <c r="J36" s="1030"/>
      <c r="K36" s="1030"/>
      <c r="L36" s="1030"/>
      <c r="M36" s="1030"/>
      <c r="N36" s="208">
        <v>0</v>
      </c>
      <c r="O36" s="246">
        <v>0</v>
      </c>
      <c r="P36" s="201">
        <v>0</v>
      </c>
      <c r="Q36" s="202">
        <v>0</v>
      </c>
    </row>
    <row r="37" spans="1:20" x14ac:dyDescent="0.25">
      <c r="A37" s="909" t="s">
        <v>2496</v>
      </c>
      <c r="B37" s="682"/>
      <c r="C37" s="1066"/>
      <c r="D37" s="1030"/>
      <c r="E37" s="1030"/>
      <c r="F37" s="1030"/>
      <c r="G37" s="1030"/>
      <c r="H37" s="1030"/>
      <c r="I37" s="1030"/>
      <c r="J37" s="1030"/>
      <c r="K37" s="1030"/>
      <c r="L37" s="1030"/>
      <c r="M37" s="1030"/>
      <c r="N37" s="208">
        <v>0</v>
      </c>
      <c r="O37" s="246">
        <v>0</v>
      </c>
      <c r="P37" s="201">
        <v>0</v>
      </c>
      <c r="Q37" s="202">
        <v>0</v>
      </c>
    </row>
    <row r="38" spans="1:20" x14ac:dyDescent="0.25">
      <c r="A38" s="196" t="s">
        <v>1334</v>
      </c>
      <c r="B38" s="1027">
        <v>2</v>
      </c>
      <c r="C38" s="261">
        <v>37500</v>
      </c>
      <c r="D38" s="259">
        <v>140000</v>
      </c>
      <c r="E38" s="259">
        <v>140000</v>
      </c>
      <c r="F38" s="259">
        <v>140000</v>
      </c>
      <c r="G38" s="259">
        <v>102500</v>
      </c>
      <c r="H38" s="259">
        <v>1944566.6666666667</v>
      </c>
      <c r="I38" s="259">
        <v>2027900</v>
      </c>
      <c r="J38" s="259">
        <v>3095160</v>
      </c>
      <c r="K38" s="259">
        <v>1540593.3333333333</v>
      </c>
      <c r="L38" s="259">
        <v>1067260</v>
      </c>
      <c r="M38" s="259">
        <v>1364760</v>
      </c>
      <c r="N38" s="258">
        <v>1364760</v>
      </c>
      <c r="O38" s="261">
        <v>12965000</v>
      </c>
      <c r="P38" s="259">
        <v>14492300</v>
      </c>
      <c r="Q38" s="260">
        <v>14477838</v>
      </c>
    </row>
    <row r="39" spans="1:20" x14ac:dyDescent="0.25">
      <c r="A39" s="673" t="s">
        <v>603</v>
      </c>
      <c r="B39" s="694">
        <v>2</v>
      </c>
      <c r="C39" s="321">
        <v>37500</v>
      </c>
      <c r="D39" s="224">
        <v>140000</v>
      </c>
      <c r="E39" s="224">
        <v>140000</v>
      </c>
      <c r="F39" s="224">
        <v>140000</v>
      </c>
      <c r="G39" s="224">
        <v>102500</v>
      </c>
      <c r="H39" s="224">
        <v>1944566.6666666667</v>
      </c>
      <c r="I39" s="224">
        <v>2027900</v>
      </c>
      <c r="J39" s="224">
        <v>3095160</v>
      </c>
      <c r="K39" s="224">
        <v>1540593.3333333333</v>
      </c>
      <c r="L39" s="224">
        <v>1067260</v>
      </c>
      <c r="M39" s="224">
        <v>1364760</v>
      </c>
      <c r="N39" s="223">
        <v>1364760</v>
      </c>
      <c r="O39" s="321">
        <v>12965000</v>
      </c>
      <c r="P39" s="224">
        <v>14492300</v>
      </c>
      <c r="Q39" s="320">
        <v>14477838</v>
      </c>
    </row>
    <row r="40" spans="1:20" x14ac:dyDescent="0.25">
      <c r="A40" s="1023"/>
      <c r="B40" s="1024"/>
      <c r="C40" s="359"/>
      <c r="D40" s="359"/>
      <c r="E40" s="359"/>
      <c r="F40" s="359"/>
      <c r="G40" s="359"/>
      <c r="H40" s="359"/>
      <c r="I40" s="359"/>
      <c r="J40" s="359"/>
      <c r="K40" s="359"/>
      <c r="L40" s="359"/>
      <c r="M40" s="359"/>
      <c r="N40" s="359"/>
      <c r="O40" s="359"/>
      <c r="P40" s="359"/>
      <c r="Q40" s="359"/>
    </row>
    <row r="41" spans="1:20" x14ac:dyDescent="0.25">
      <c r="A41" s="1023"/>
      <c r="B41" s="1024"/>
      <c r="C41" s="359"/>
      <c r="D41" s="359"/>
      <c r="E41" s="359"/>
      <c r="F41" s="359"/>
      <c r="G41" s="359"/>
      <c r="H41" s="359"/>
      <c r="I41" s="359"/>
      <c r="J41" s="359"/>
      <c r="K41" s="359"/>
      <c r="L41" s="359"/>
      <c r="M41" s="359"/>
      <c r="N41" s="359"/>
      <c r="O41" s="359"/>
      <c r="P41" s="359"/>
      <c r="Q41" s="359"/>
    </row>
    <row r="42" spans="1:20" s="625" customFormat="1" x14ac:dyDescent="0.25">
      <c r="A42" s="1142" t="s">
        <v>986</v>
      </c>
      <c r="B42" s="872"/>
      <c r="C42" s="839"/>
      <c r="D42" s="839"/>
      <c r="E42" s="839"/>
      <c r="F42" s="839"/>
      <c r="G42" s="839"/>
      <c r="H42" s="839"/>
      <c r="I42" s="839"/>
      <c r="J42" s="839"/>
      <c r="K42" s="839"/>
      <c r="L42" s="839"/>
      <c r="M42" s="839"/>
      <c r="N42" s="839"/>
      <c r="O42" s="839"/>
      <c r="P42" s="839"/>
      <c r="Q42" s="839"/>
      <c r="R42" s="148"/>
      <c r="S42" s="873"/>
      <c r="T42" s="873"/>
    </row>
    <row r="43" spans="1:20" s="625" customFormat="1" x14ac:dyDescent="0.25">
      <c r="A43" s="1136" t="s">
        <v>795</v>
      </c>
      <c r="B43" s="845"/>
      <c r="C43" s="839"/>
      <c r="D43" s="839"/>
      <c r="E43" s="839"/>
      <c r="F43" s="839"/>
      <c r="G43" s="839"/>
      <c r="H43" s="839"/>
      <c r="I43" s="839"/>
      <c r="J43" s="839"/>
      <c r="K43" s="839"/>
      <c r="L43" s="839"/>
      <c r="M43" s="839"/>
      <c r="N43" s="839"/>
      <c r="O43" s="839"/>
      <c r="P43" s="839"/>
      <c r="Q43" s="839"/>
      <c r="R43" s="873"/>
      <c r="S43" s="873"/>
      <c r="T43" s="873"/>
    </row>
    <row r="44" spans="1:20" s="625" customFormat="1" x14ac:dyDescent="0.25">
      <c r="A44" s="1136" t="s">
        <v>171</v>
      </c>
      <c r="B44" s="845"/>
      <c r="C44" s="873"/>
      <c r="D44" s="873"/>
      <c r="E44" s="873"/>
      <c r="F44" s="873"/>
      <c r="G44" s="873"/>
      <c r="H44" s="873"/>
      <c r="I44" s="873"/>
      <c r="J44" s="873"/>
      <c r="K44" s="873"/>
      <c r="L44" s="873"/>
      <c r="M44" s="873"/>
      <c r="N44" s="873"/>
      <c r="O44" s="873"/>
    </row>
    <row r="45" spans="1:20" x14ac:dyDescent="0.25">
      <c r="A45" s="392" t="s">
        <v>1528</v>
      </c>
      <c r="B45" s="647"/>
      <c r="C45" s="1916">
        <v>0</v>
      </c>
      <c r="D45" s="1916">
        <v>0</v>
      </c>
      <c r="E45" s="1916">
        <v>0</v>
      </c>
      <c r="F45" s="1916">
        <v>0</v>
      </c>
      <c r="G45" s="1916">
        <v>0</v>
      </c>
      <c r="H45" s="1916">
        <v>0</v>
      </c>
      <c r="I45" s="1916">
        <v>0</v>
      </c>
      <c r="J45" s="1916">
        <v>0</v>
      </c>
      <c r="K45" s="1916">
        <v>0</v>
      </c>
      <c r="L45" s="1916">
        <v>0</v>
      </c>
      <c r="M45" s="1916">
        <v>0</v>
      </c>
      <c r="N45" s="1916">
        <v>0</v>
      </c>
      <c r="O45" s="2600">
        <v>0</v>
      </c>
      <c r="P45" s="649">
        <v>0</v>
      </c>
      <c r="Q45" s="649">
        <v>0</v>
      </c>
    </row>
    <row r="47" spans="1:20" x14ac:dyDescent="0.25">
      <c r="E47" s="338" t="s">
        <v>198</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enableFormatConditionsCalculation="0">
    <tabColor indexed="42"/>
    <pageSetUpPr fitToPage="1"/>
  </sheetPr>
  <dimension ref="A1:T29"/>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148" customWidth="1"/>
    <col min="3" max="13" width="8.28515625" style="338" customWidth="1"/>
    <col min="14" max="14" width="8.28515625" style="148" customWidth="1"/>
    <col min="15" max="17" width="9.28515625" style="148" customWidth="1"/>
    <col min="18" max="16384" width="9.140625" style="148"/>
  </cols>
  <sheetData>
    <row r="1" spans="1:18" ht="13.5" customHeight="1" x14ac:dyDescent="0.25">
      <c r="A1" s="146" t="s">
        <v>2553</v>
      </c>
      <c r="B1" s="146"/>
      <c r="C1" s="1997"/>
      <c r="D1" s="1997"/>
      <c r="E1" s="1997"/>
      <c r="F1" s="1997"/>
      <c r="G1" s="1997"/>
      <c r="H1" s="1997"/>
      <c r="I1" s="1997"/>
      <c r="J1" s="1997"/>
      <c r="K1" s="1997"/>
      <c r="L1" s="1997"/>
      <c r="M1" s="1997"/>
      <c r="N1" s="146"/>
      <c r="O1" s="146"/>
      <c r="P1" s="146"/>
      <c r="Q1" s="146"/>
    </row>
    <row r="2" spans="1:18" ht="27" customHeight="1" x14ac:dyDescent="0.25">
      <c r="A2" s="786" t="s">
        <v>775</v>
      </c>
      <c r="B2" s="797" t="s">
        <v>429</v>
      </c>
      <c r="C2" s="2700" t="s">
        <v>2483</v>
      </c>
      <c r="D2" s="2701"/>
      <c r="E2" s="2701"/>
      <c r="F2" s="2701"/>
      <c r="G2" s="2701"/>
      <c r="H2" s="2701"/>
      <c r="I2" s="2701"/>
      <c r="J2" s="2701"/>
      <c r="K2" s="2701"/>
      <c r="L2" s="2701"/>
      <c r="M2" s="2701"/>
      <c r="N2" s="2701"/>
      <c r="O2" s="2697" t="s">
        <v>1806</v>
      </c>
      <c r="P2" s="2698"/>
      <c r="Q2" s="2699"/>
    </row>
    <row r="3" spans="1:18" ht="25.5" x14ac:dyDescent="0.25">
      <c r="A3" s="179" t="s">
        <v>667</v>
      </c>
      <c r="B3" s="798"/>
      <c r="C3" s="2004" t="s">
        <v>725</v>
      </c>
      <c r="D3" s="741" t="s">
        <v>1416</v>
      </c>
      <c r="E3" s="741" t="s">
        <v>1417</v>
      </c>
      <c r="F3" s="741" t="s">
        <v>1418</v>
      </c>
      <c r="G3" s="741" t="s">
        <v>423</v>
      </c>
      <c r="H3" s="741" t="s">
        <v>424</v>
      </c>
      <c r="I3" s="741" t="s">
        <v>708</v>
      </c>
      <c r="J3" s="741" t="s">
        <v>425</v>
      </c>
      <c r="K3" s="741" t="s">
        <v>710</v>
      </c>
      <c r="L3" s="741" t="s">
        <v>711</v>
      </c>
      <c r="M3" s="741" t="s">
        <v>712</v>
      </c>
      <c r="N3" s="352" t="s">
        <v>713</v>
      </c>
      <c r="O3" s="283" t="s">
        <v>2483</v>
      </c>
      <c r="P3" s="353" t="s">
        <v>2484</v>
      </c>
      <c r="Q3" s="354" t="s">
        <v>2485</v>
      </c>
    </row>
    <row r="4" spans="1:18" x14ac:dyDescent="0.25">
      <c r="A4" s="244" t="s">
        <v>1245</v>
      </c>
      <c r="B4" s="794">
        <v>1</v>
      </c>
      <c r="C4" s="246"/>
      <c r="D4" s="205"/>
      <c r="E4" s="205"/>
      <c r="F4" s="205"/>
      <c r="G4" s="205"/>
      <c r="H4" s="205"/>
      <c r="I4" s="205"/>
      <c r="J4" s="205"/>
      <c r="K4" s="205"/>
      <c r="L4" s="205"/>
      <c r="M4" s="205"/>
      <c r="N4" s="200"/>
      <c r="O4" s="203"/>
      <c r="P4" s="201"/>
      <c r="Q4" s="202"/>
    </row>
    <row r="5" spans="1:18" x14ac:dyDescent="0.25">
      <c r="A5" s="1015" t="s">
        <v>1134</v>
      </c>
      <c r="B5" s="682"/>
      <c r="C5" s="905">
        <v>37500</v>
      </c>
      <c r="D5" s="903">
        <v>140000</v>
      </c>
      <c r="E5" s="903">
        <v>140000</v>
      </c>
      <c r="F5" s="903">
        <v>140000</v>
      </c>
      <c r="G5" s="903">
        <v>102500</v>
      </c>
      <c r="H5" s="903">
        <v>16666.666666666668</v>
      </c>
      <c r="I5" s="903">
        <v>16666.666666666668</v>
      </c>
      <c r="J5" s="903">
        <v>16666.666666666668</v>
      </c>
      <c r="K5" s="903">
        <v>0</v>
      </c>
      <c r="L5" s="903">
        <v>0</v>
      </c>
      <c r="M5" s="903">
        <v>0</v>
      </c>
      <c r="N5" s="215">
        <v>0</v>
      </c>
      <c r="O5" s="218">
        <v>610000</v>
      </c>
      <c r="P5" s="216">
        <v>646600</v>
      </c>
      <c r="Q5" s="313">
        <v>685396</v>
      </c>
      <c r="R5" s="338"/>
    </row>
    <row r="6" spans="1:18" x14ac:dyDescent="0.25">
      <c r="A6" s="1016" t="s">
        <v>2421</v>
      </c>
      <c r="B6" s="682"/>
      <c r="C6" s="1066">
        <v>0</v>
      </c>
      <c r="D6" s="1030">
        <v>102500</v>
      </c>
      <c r="E6" s="1030">
        <v>102500</v>
      </c>
      <c r="F6" s="1030">
        <v>102500</v>
      </c>
      <c r="G6" s="1030">
        <v>102500</v>
      </c>
      <c r="H6" s="1030">
        <v>16666.666666666668</v>
      </c>
      <c r="I6" s="1030">
        <v>16666.666666666668</v>
      </c>
      <c r="J6" s="1030">
        <v>16666.666666666668</v>
      </c>
      <c r="K6" s="1030">
        <v>0</v>
      </c>
      <c r="L6" s="1030">
        <v>0</v>
      </c>
      <c r="M6" s="1030">
        <v>0</v>
      </c>
      <c r="N6" s="200">
        <v>0</v>
      </c>
      <c r="O6" s="203">
        <v>460000</v>
      </c>
      <c r="P6" s="201">
        <v>487600</v>
      </c>
      <c r="Q6" s="256">
        <v>516856</v>
      </c>
      <c r="R6" s="338"/>
    </row>
    <row r="7" spans="1:18" x14ac:dyDescent="0.25">
      <c r="A7" s="1016" t="s">
        <v>2420</v>
      </c>
      <c r="B7" s="682"/>
      <c r="C7" s="2091">
        <v>37500</v>
      </c>
      <c r="D7" s="2089">
        <v>37500</v>
      </c>
      <c r="E7" s="2089">
        <v>37500</v>
      </c>
      <c r="F7" s="2089">
        <v>37500</v>
      </c>
      <c r="G7" s="2089">
        <v>0</v>
      </c>
      <c r="H7" s="2089">
        <v>0</v>
      </c>
      <c r="I7" s="2089">
        <v>0</v>
      </c>
      <c r="J7" s="2089">
        <v>0</v>
      </c>
      <c r="K7" s="2089">
        <v>0</v>
      </c>
      <c r="L7" s="2089">
        <v>0</v>
      </c>
      <c r="M7" s="2089">
        <v>0</v>
      </c>
      <c r="N7" s="200">
        <v>0</v>
      </c>
      <c r="O7" s="203">
        <v>150000</v>
      </c>
      <c r="P7" s="201">
        <v>159000</v>
      </c>
      <c r="Q7" s="256">
        <v>168540</v>
      </c>
      <c r="R7" s="338"/>
    </row>
    <row r="8" spans="1:18" x14ac:dyDescent="0.25">
      <c r="A8" s="1016" t="s">
        <v>144</v>
      </c>
      <c r="B8" s="682"/>
      <c r="C8" s="1066">
        <v>0</v>
      </c>
      <c r="D8" s="1030">
        <v>0</v>
      </c>
      <c r="E8" s="1030">
        <v>0</v>
      </c>
      <c r="F8" s="1030">
        <v>0</v>
      </c>
      <c r="G8" s="1030">
        <v>0</v>
      </c>
      <c r="H8" s="1030">
        <v>0</v>
      </c>
      <c r="I8" s="1030">
        <v>0</v>
      </c>
      <c r="J8" s="1030">
        <v>0</v>
      </c>
      <c r="K8" s="1030">
        <v>0</v>
      </c>
      <c r="L8" s="1030">
        <v>0</v>
      </c>
      <c r="M8" s="1030">
        <v>0</v>
      </c>
      <c r="N8" s="200">
        <v>0</v>
      </c>
      <c r="O8" s="203">
        <v>0</v>
      </c>
      <c r="P8" s="201">
        <v>0</v>
      </c>
      <c r="Q8" s="256">
        <v>0</v>
      </c>
      <c r="R8" s="338"/>
    </row>
    <row r="9" spans="1:18" x14ac:dyDescent="0.25">
      <c r="A9" s="1015" t="s">
        <v>145</v>
      </c>
      <c r="B9" s="682"/>
      <c r="C9" s="905">
        <v>0</v>
      </c>
      <c r="D9" s="903">
        <v>0</v>
      </c>
      <c r="E9" s="903">
        <v>0</v>
      </c>
      <c r="F9" s="903">
        <v>0</v>
      </c>
      <c r="G9" s="903">
        <v>0</v>
      </c>
      <c r="H9" s="903">
        <v>390000</v>
      </c>
      <c r="I9" s="903">
        <v>473333.33333333331</v>
      </c>
      <c r="J9" s="903">
        <v>473333.33333333331</v>
      </c>
      <c r="K9" s="903">
        <v>473333.33333333331</v>
      </c>
      <c r="L9" s="903">
        <v>0</v>
      </c>
      <c r="M9" s="903">
        <v>297500</v>
      </c>
      <c r="N9" s="215">
        <v>297500</v>
      </c>
      <c r="O9" s="218">
        <v>2405000</v>
      </c>
      <c r="P9" s="216">
        <v>895700</v>
      </c>
      <c r="Q9" s="313">
        <v>949442</v>
      </c>
      <c r="R9" s="338"/>
    </row>
    <row r="10" spans="1:18" x14ac:dyDescent="0.25">
      <c r="A10" s="1016" t="s">
        <v>2419</v>
      </c>
      <c r="B10" s="682"/>
      <c r="C10" s="1066">
        <v>0</v>
      </c>
      <c r="D10" s="1030">
        <v>0</v>
      </c>
      <c r="E10" s="1030">
        <v>0</v>
      </c>
      <c r="F10" s="1030">
        <v>0</v>
      </c>
      <c r="G10" s="1030">
        <v>0</v>
      </c>
      <c r="H10" s="1030">
        <v>390000</v>
      </c>
      <c r="I10" s="1030">
        <v>473333.33333333331</v>
      </c>
      <c r="J10" s="1030">
        <v>473333.33333333331</v>
      </c>
      <c r="K10" s="1030">
        <v>473333.33333333331</v>
      </c>
      <c r="L10" s="1030">
        <v>0</v>
      </c>
      <c r="M10" s="1030">
        <v>297500</v>
      </c>
      <c r="N10" s="200">
        <v>297500</v>
      </c>
      <c r="O10" s="203">
        <v>2405000</v>
      </c>
      <c r="P10" s="201">
        <v>895700</v>
      </c>
      <c r="Q10" s="256">
        <v>949442</v>
      </c>
      <c r="R10" s="338"/>
    </row>
    <row r="11" spans="1:18" x14ac:dyDescent="0.25">
      <c r="A11" s="1016" t="s">
        <v>147</v>
      </c>
      <c r="B11" s="682"/>
      <c r="C11" s="1066">
        <v>0</v>
      </c>
      <c r="D11" s="1030">
        <v>0</v>
      </c>
      <c r="E11" s="1030">
        <v>0</v>
      </c>
      <c r="F11" s="1030">
        <v>0</v>
      </c>
      <c r="G11" s="1030">
        <v>0</v>
      </c>
      <c r="H11" s="1030">
        <v>0</v>
      </c>
      <c r="I11" s="1030">
        <v>0</v>
      </c>
      <c r="J11" s="1030">
        <v>0</v>
      </c>
      <c r="K11" s="1030">
        <v>0</v>
      </c>
      <c r="L11" s="1030">
        <v>0</v>
      </c>
      <c r="M11" s="1030">
        <v>0</v>
      </c>
      <c r="N11" s="200">
        <v>0</v>
      </c>
      <c r="O11" s="203">
        <v>0</v>
      </c>
      <c r="P11" s="201">
        <v>0</v>
      </c>
      <c r="Q11" s="256">
        <v>0</v>
      </c>
      <c r="R11" s="338"/>
    </row>
    <row r="12" spans="1:18" x14ac:dyDescent="0.25">
      <c r="A12" s="1016" t="s">
        <v>148</v>
      </c>
      <c r="B12" s="682"/>
      <c r="C12" s="1066">
        <v>0</v>
      </c>
      <c r="D12" s="1030">
        <v>0</v>
      </c>
      <c r="E12" s="1030">
        <v>0</v>
      </c>
      <c r="F12" s="1030">
        <v>0</v>
      </c>
      <c r="G12" s="1030">
        <v>0</v>
      </c>
      <c r="H12" s="1030">
        <v>0</v>
      </c>
      <c r="I12" s="1030">
        <v>0</v>
      </c>
      <c r="J12" s="1030">
        <v>0</v>
      </c>
      <c r="K12" s="1030">
        <v>0</v>
      </c>
      <c r="L12" s="1030">
        <v>0</v>
      </c>
      <c r="M12" s="1030">
        <v>0</v>
      </c>
      <c r="N12" s="200">
        <v>0</v>
      </c>
      <c r="O12" s="203">
        <v>0</v>
      </c>
      <c r="P12" s="201">
        <v>0</v>
      </c>
      <c r="Q12" s="256">
        <v>0</v>
      </c>
      <c r="R12" s="338"/>
    </row>
    <row r="13" spans="1:18" x14ac:dyDescent="0.25">
      <c r="A13" s="1016" t="s">
        <v>1722</v>
      </c>
      <c r="B13" s="682"/>
      <c r="C13" s="1066">
        <v>0</v>
      </c>
      <c r="D13" s="1030">
        <v>0</v>
      </c>
      <c r="E13" s="1030">
        <v>0</v>
      </c>
      <c r="F13" s="1030">
        <v>0</v>
      </c>
      <c r="G13" s="1030">
        <v>0</v>
      </c>
      <c r="H13" s="1030">
        <v>0</v>
      </c>
      <c r="I13" s="1030">
        <v>0</v>
      </c>
      <c r="J13" s="1030">
        <v>0</v>
      </c>
      <c r="K13" s="1030">
        <v>0</v>
      </c>
      <c r="L13" s="1030">
        <v>0</v>
      </c>
      <c r="M13" s="1030">
        <v>0</v>
      </c>
      <c r="N13" s="200">
        <v>0</v>
      </c>
      <c r="O13" s="203">
        <v>0</v>
      </c>
      <c r="P13" s="201">
        <v>0</v>
      </c>
      <c r="Q13" s="256">
        <v>0</v>
      </c>
      <c r="R13" s="338"/>
    </row>
    <row r="14" spans="1:18" x14ac:dyDescent="0.25">
      <c r="A14" s="1016" t="s">
        <v>1802</v>
      </c>
      <c r="B14" s="682"/>
      <c r="C14" s="1066">
        <v>0</v>
      </c>
      <c r="D14" s="1030">
        <v>0</v>
      </c>
      <c r="E14" s="1030">
        <v>0</v>
      </c>
      <c r="F14" s="1030">
        <v>0</v>
      </c>
      <c r="G14" s="1030">
        <v>0</v>
      </c>
      <c r="H14" s="1030">
        <v>0</v>
      </c>
      <c r="I14" s="1030">
        <v>0</v>
      </c>
      <c r="J14" s="1030">
        <v>0</v>
      </c>
      <c r="K14" s="1030">
        <v>0</v>
      </c>
      <c r="L14" s="1030">
        <v>0</v>
      </c>
      <c r="M14" s="1030">
        <v>0</v>
      </c>
      <c r="N14" s="200">
        <v>0</v>
      </c>
      <c r="O14" s="203">
        <v>0</v>
      </c>
      <c r="P14" s="201">
        <v>0</v>
      </c>
      <c r="Q14" s="256">
        <v>0</v>
      </c>
      <c r="R14" s="338"/>
    </row>
    <row r="15" spans="1:18" x14ac:dyDescent="0.25">
      <c r="A15" s="1015" t="s">
        <v>149</v>
      </c>
      <c r="B15" s="682"/>
      <c r="C15" s="905">
        <v>0</v>
      </c>
      <c r="D15" s="903">
        <v>0</v>
      </c>
      <c r="E15" s="903">
        <v>0</v>
      </c>
      <c r="F15" s="903">
        <v>0</v>
      </c>
      <c r="G15" s="903">
        <v>0</v>
      </c>
      <c r="H15" s="903">
        <v>1537900</v>
      </c>
      <c r="I15" s="903">
        <v>1537900</v>
      </c>
      <c r="J15" s="903">
        <v>1537900</v>
      </c>
      <c r="K15" s="903">
        <v>0</v>
      </c>
      <c r="L15" s="903">
        <v>0</v>
      </c>
      <c r="M15" s="903">
        <v>0</v>
      </c>
      <c r="N15" s="215">
        <v>0</v>
      </c>
      <c r="O15" s="218">
        <v>4613700</v>
      </c>
      <c r="P15" s="216">
        <v>7500000</v>
      </c>
      <c r="Q15" s="313">
        <v>12843000</v>
      </c>
      <c r="R15" s="338"/>
    </row>
    <row r="16" spans="1:18" x14ac:dyDescent="0.25">
      <c r="A16" s="1016" t="s">
        <v>2418</v>
      </c>
      <c r="B16" s="682"/>
      <c r="C16" s="1066">
        <v>0</v>
      </c>
      <c r="D16" s="1030">
        <v>0</v>
      </c>
      <c r="E16" s="1030">
        <v>0</v>
      </c>
      <c r="F16" s="1030">
        <v>0</v>
      </c>
      <c r="G16" s="1030">
        <v>0</v>
      </c>
      <c r="H16" s="1030">
        <v>1537900</v>
      </c>
      <c r="I16" s="1030">
        <v>1537900</v>
      </c>
      <c r="J16" s="1030">
        <v>1537900</v>
      </c>
      <c r="K16" s="1030">
        <v>0</v>
      </c>
      <c r="L16" s="1030">
        <v>0</v>
      </c>
      <c r="M16" s="1030">
        <v>0</v>
      </c>
      <c r="N16" s="200">
        <v>0</v>
      </c>
      <c r="O16" s="203">
        <v>4613700</v>
      </c>
      <c r="P16" s="201">
        <v>7500000</v>
      </c>
      <c r="Q16" s="256">
        <v>12843000</v>
      </c>
      <c r="R16" s="338"/>
    </row>
    <row r="17" spans="1:20" x14ac:dyDescent="0.25">
      <c r="A17" s="1016" t="s">
        <v>151</v>
      </c>
      <c r="B17" s="682"/>
      <c r="C17" s="1066">
        <v>0</v>
      </c>
      <c r="D17" s="1030">
        <v>0</v>
      </c>
      <c r="E17" s="1030">
        <v>0</v>
      </c>
      <c r="F17" s="1030">
        <v>0</v>
      </c>
      <c r="G17" s="1030">
        <v>0</v>
      </c>
      <c r="H17" s="1030">
        <v>0</v>
      </c>
      <c r="I17" s="1030">
        <v>0</v>
      </c>
      <c r="J17" s="1030">
        <v>0</v>
      </c>
      <c r="K17" s="1030">
        <v>0</v>
      </c>
      <c r="L17" s="1030">
        <v>0</v>
      </c>
      <c r="M17" s="1030">
        <v>0</v>
      </c>
      <c r="N17" s="200">
        <v>0</v>
      </c>
      <c r="O17" s="203">
        <v>0</v>
      </c>
      <c r="P17" s="201">
        <v>0</v>
      </c>
      <c r="Q17" s="256">
        <v>0</v>
      </c>
      <c r="R17" s="338"/>
    </row>
    <row r="18" spans="1:20" x14ac:dyDescent="0.25">
      <c r="A18" s="1016" t="s">
        <v>152</v>
      </c>
      <c r="B18" s="682"/>
      <c r="C18" s="1066">
        <v>0</v>
      </c>
      <c r="D18" s="1030">
        <v>0</v>
      </c>
      <c r="E18" s="1030">
        <v>0</v>
      </c>
      <c r="F18" s="1030">
        <v>0</v>
      </c>
      <c r="G18" s="1030">
        <v>0</v>
      </c>
      <c r="H18" s="1030">
        <v>0</v>
      </c>
      <c r="I18" s="1030">
        <v>0</v>
      </c>
      <c r="J18" s="1030">
        <v>0</v>
      </c>
      <c r="K18" s="1030">
        <v>0</v>
      </c>
      <c r="L18" s="1030">
        <v>0</v>
      </c>
      <c r="M18" s="1030">
        <v>0</v>
      </c>
      <c r="N18" s="200">
        <v>0</v>
      </c>
      <c r="O18" s="203">
        <v>0</v>
      </c>
      <c r="P18" s="201">
        <v>0</v>
      </c>
      <c r="Q18" s="256">
        <v>0</v>
      </c>
      <c r="R18" s="338"/>
    </row>
    <row r="19" spans="1:20" x14ac:dyDescent="0.25">
      <c r="A19" s="1015" t="s">
        <v>153</v>
      </c>
      <c r="B19" s="682"/>
      <c r="C19" s="905">
        <v>0</v>
      </c>
      <c r="D19" s="903">
        <v>0</v>
      </c>
      <c r="E19" s="903">
        <v>0</v>
      </c>
      <c r="F19" s="903">
        <v>0</v>
      </c>
      <c r="G19" s="903">
        <v>0</v>
      </c>
      <c r="H19" s="903">
        <v>0</v>
      </c>
      <c r="I19" s="903">
        <v>0</v>
      </c>
      <c r="J19" s="903">
        <v>1067260</v>
      </c>
      <c r="K19" s="903">
        <v>1067260</v>
      </c>
      <c r="L19" s="903">
        <v>1067260</v>
      </c>
      <c r="M19" s="903">
        <v>1067260</v>
      </c>
      <c r="N19" s="215">
        <v>1067260</v>
      </c>
      <c r="O19" s="218">
        <v>5336300</v>
      </c>
      <c r="P19" s="216">
        <v>5450000</v>
      </c>
      <c r="Q19" s="313">
        <v>0</v>
      </c>
      <c r="R19" s="338"/>
    </row>
    <row r="20" spans="1:20" x14ac:dyDescent="0.25">
      <c r="A20" s="1016" t="s">
        <v>654</v>
      </c>
      <c r="B20" s="682"/>
      <c r="C20" s="1066">
        <v>0</v>
      </c>
      <c r="D20" s="1030">
        <v>0</v>
      </c>
      <c r="E20" s="1030">
        <v>0</v>
      </c>
      <c r="F20" s="1030">
        <v>0</v>
      </c>
      <c r="G20" s="1030">
        <v>0</v>
      </c>
      <c r="H20" s="1030">
        <v>0</v>
      </c>
      <c r="I20" s="1030">
        <v>0</v>
      </c>
      <c r="J20" s="1030">
        <v>0</v>
      </c>
      <c r="K20" s="1030">
        <v>0</v>
      </c>
      <c r="L20" s="1030">
        <v>0</v>
      </c>
      <c r="M20" s="1030">
        <v>0</v>
      </c>
      <c r="N20" s="200">
        <v>0</v>
      </c>
      <c r="O20" s="203">
        <v>0</v>
      </c>
      <c r="P20" s="201">
        <v>0</v>
      </c>
      <c r="Q20" s="256">
        <v>0</v>
      </c>
      <c r="R20" s="338"/>
    </row>
    <row r="21" spans="1:20" x14ac:dyDescent="0.25">
      <c r="A21" s="1016" t="s">
        <v>958</v>
      </c>
      <c r="B21" s="682"/>
      <c r="C21" s="1066">
        <v>0</v>
      </c>
      <c r="D21" s="1030">
        <v>0</v>
      </c>
      <c r="E21" s="1030">
        <v>0</v>
      </c>
      <c r="F21" s="1030">
        <v>0</v>
      </c>
      <c r="G21" s="1030">
        <v>0</v>
      </c>
      <c r="H21" s="1030">
        <v>0</v>
      </c>
      <c r="I21" s="1030">
        <v>0</v>
      </c>
      <c r="J21" s="1030">
        <v>0</v>
      </c>
      <c r="K21" s="1030">
        <v>0</v>
      </c>
      <c r="L21" s="1030">
        <v>0</v>
      </c>
      <c r="M21" s="1030">
        <v>0</v>
      </c>
      <c r="N21" s="200">
        <v>0</v>
      </c>
      <c r="O21" s="203">
        <v>0</v>
      </c>
      <c r="P21" s="201">
        <v>1750000</v>
      </c>
      <c r="Q21" s="256">
        <v>0</v>
      </c>
      <c r="R21" s="338"/>
    </row>
    <row r="22" spans="1:20" x14ac:dyDescent="0.25">
      <c r="A22" s="1016" t="s">
        <v>1136</v>
      </c>
      <c r="B22" s="682"/>
      <c r="C22" s="1066">
        <v>0</v>
      </c>
      <c r="D22" s="1030">
        <v>0</v>
      </c>
      <c r="E22" s="1030">
        <v>0</v>
      </c>
      <c r="F22" s="1030">
        <v>0</v>
      </c>
      <c r="G22" s="1030">
        <v>0</v>
      </c>
      <c r="H22" s="1030">
        <v>0</v>
      </c>
      <c r="I22" s="1030">
        <v>0</v>
      </c>
      <c r="J22" s="1030">
        <v>0</v>
      </c>
      <c r="K22" s="1030">
        <v>0</v>
      </c>
      <c r="L22" s="1030">
        <v>0</v>
      </c>
      <c r="M22" s="1030">
        <v>0</v>
      </c>
      <c r="N22" s="200">
        <v>0</v>
      </c>
      <c r="O22" s="203">
        <v>0</v>
      </c>
      <c r="P22" s="201">
        <v>0</v>
      </c>
      <c r="Q22" s="256">
        <v>0</v>
      </c>
      <c r="R22" s="338"/>
    </row>
    <row r="23" spans="1:20" x14ac:dyDescent="0.25">
      <c r="A23" s="1016" t="s">
        <v>1137</v>
      </c>
      <c r="B23" s="682"/>
      <c r="C23" s="1066">
        <v>0</v>
      </c>
      <c r="D23" s="1030">
        <v>0</v>
      </c>
      <c r="E23" s="1030">
        <v>0</v>
      </c>
      <c r="F23" s="1030">
        <v>0</v>
      </c>
      <c r="G23" s="1030">
        <v>0</v>
      </c>
      <c r="H23" s="1030">
        <v>0</v>
      </c>
      <c r="I23" s="1030">
        <v>0</v>
      </c>
      <c r="J23" s="1030">
        <v>1067260</v>
      </c>
      <c r="K23" s="1030">
        <v>1067260</v>
      </c>
      <c r="L23" s="1030">
        <v>1067260</v>
      </c>
      <c r="M23" s="1030">
        <v>1067260</v>
      </c>
      <c r="N23" s="200">
        <v>1067260</v>
      </c>
      <c r="O23" s="203">
        <v>5336300</v>
      </c>
      <c r="P23" s="201">
        <v>3700000</v>
      </c>
      <c r="Q23" s="256">
        <v>0</v>
      </c>
      <c r="R23" s="338"/>
    </row>
    <row r="24" spans="1:20" x14ac:dyDescent="0.25">
      <c r="A24" s="1015" t="s">
        <v>293</v>
      </c>
      <c r="B24" s="682"/>
      <c r="C24" s="2121">
        <v>0</v>
      </c>
      <c r="D24" s="2119">
        <v>0</v>
      </c>
      <c r="E24" s="2119">
        <v>0</v>
      </c>
      <c r="F24" s="2119">
        <v>0</v>
      </c>
      <c r="G24" s="2119">
        <v>0</v>
      </c>
      <c r="H24" s="2119">
        <v>0</v>
      </c>
      <c r="I24" s="2119">
        <v>0</v>
      </c>
      <c r="J24" s="2119">
        <v>0</v>
      </c>
      <c r="K24" s="2119">
        <v>0</v>
      </c>
      <c r="L24" s="2119">
        <v>0</v>
      </c>
      <c r="M24" s="2119">
        <v>0</v>
      </c>
      <c r="N24" s="215">
        <v>0</v>
      </c>
      <c r="O24" s="218">
        <v>0</v>
      </c>
      <c r="P24" s="216">
        <v>0</v>
      </c>
      <c r="Q24" s="313">
        <v>0</v>
      </c>
      <c r="R24" s="338"/>
    </row>
    <row r="25" spans="1:20" x14ac:dyDescent="0.25">
      <c r="A25" s="673" t="s">
        <v>1246</v>
      </c>
      <c r="B25" s="694">
        <v>2</v>
      </c>
      <c r="C25" s="321">
        <v>37500</v>
      </c>
      <c r="D25" s="224">
        <v>140000</v>
      </c>
      <c r="E25" s="224">
        <v>140000</v>
      </c>
      <c r="F25" s="224">
        <v>140000</v>
      </c>
      <c r="G25" s="224">
        <v>102500</v>
      </c>
      <c r="H25" s="224">
        <v>1944566.6666666667</v>
      </c>
      <c r="I25" s="224">
        <v>2027900</v>
      </c>
      <c r="J25" s="224">
        <v>3095160</v>
      </c>
      <c r="K25" s="224">
        <v>1540593.3333333333</v>
      </c>
      <c r="L25" s="224">
        <v>1067260</v>
      </c>
      <c r="M25" s="224">
        <v>1364760</v>
      </c>
      <c r="N25" s="223">
        <v>1364760</v>
      </c>
      <c r="O25" s="321">
        <v>12965000</v>
      </c>
      <c r="P25" s="224">
        <v>14492300</v>
      </c>
      <c r="Q25" s="320">
        <v>14477838</v>
      </c>
      <c r="R25" s="338"/>
    </row>
    <row r="26" spans="1:20" s="625" customFormat="1" x14ac:dyDescent="0.25">
      <c r="A26" s="1143" t="s">
        <v>986</v>
      </c>
      <c r="B26" s="874"/>
      <c r="C26" s="839"/>
      <c r="D26" s="839"/>
      <c r="E26" s="839"/>
      <c r="F26" s="839"/>
      <c r="G26" s="839"/>
      <c r="H26" s="839"/>
      <c r="I26" s="839"/>
      <c r="J26" s="839"/>
      <c r="K26" s="839"/>
      <c r="L26" s="839"/>
      <c r="M26" s="839"/>
      <c r="N26" s="839"/>
      <c r="O26" s="839"/>
      <c r="P26" s="839"/>
      <c r="Q26" s="839"/>
      <c r="R26" s="873"/>
      <c r="S26" s="873"/>
      <c r="T26" s="873"/>
    </row>
    <row r="27" spans="1:20" s="625" customFormat="1" x14ac:dyDescent="0.25">
      <c r="A27" s="1139" t="s">
        <v>795</v>
      </c>
      <c r="C27" s="839"/>
      <c r="D27" s="839"/>
      <c r="E27" s="839"/>
      <c r="F27" s="839"/>
      <c r="G27" s="839"/>
      <c r="H27" s="839"/>
      <c r="I27" s="839"/>
      <c r="J27" s="839"/>
      <c r="K27" s="839"/>
      <c r="L27" s="839"/>
      <c r="M27" s="839"/>
      <c r="N27" s="839"/>
      <c r="O27" s="839"/>
      <c r="P27" s="839"/>
      <c r="Q27" s="839"/>
      <c r="R27" s="873"/>
      <c r="S27" s="873"/>
      <c r="T27" s="873"/>
    </row>
    <row r="28" spans="1:20" s="625" customFormat="1" x14ac:dyDescent="0.25">
      <c r="A28" s="1139" t="s">
        <v>171</v>
      </c>
      <c r="C28" s="873"/>
      <c r="D28" s="873"/>
      <c r="E28" s="873"/>
      <c r="F28" s="873"/>
      <c r="G28" s="873"/>
      <c r="H28" s="873"/>
      <c r="I28" s="873"/>
      <c r="J28" s="873"/>
      <c r="K28" s="873"/>
      <c r="L28" s="873"/>
      <c r="M28" s="873"/>
    </row>
    <row r="29" spans="1:20" x14ac:dyDescent="0.25">
      <c r="A29" s="392" t="s">
        <v>1528</v>
      </c>
      <c r="B29" s="392"/>
      <c r="C29" s="1916">
        <v>0</v>
      </c>
      <c r="D29" s="1916">
        <v>0</v>
      </c>
      <c r="E29" s="1916">
        <v>0</v>
      </c>
      <c r="F29" s="1916">
        <v>0</v>
      </c>
      <c r="G29" s="1916">
        <v>0</v>
      </c>
      <c r="H29" s="1916">
        <v>0</v>
      </c>
      <c r="I29" s="1916">
        <v>0</v>
      </c>
      <c r="J29" s="1916">
        <v>0</v>
      </c>
      <c r="K29" s="1916">
        <v>0</v>
      </c>
      <c r="L29" s="1916">
        <v>0</v>
      </c>
      <c r="M29" s="1916">
        <v>0</v>
      </c>
      <c r="N29" s="330">
        <v>0</v>
      </c>
      <c r="O29" s="649">
        <v>0</v>
      </c>
      <c r="P29" s="649">
        <v>0</v>
      </c>
      <c r="Q29" s="649">
        <v>0</v>
      </c>
    </row>
  </sheetData>
  <mergeCells count="2">
    <mergeCell ref="C2:N2"/>
    <mergeCell ref="O2:Q2"/>
  </mergeCells>
  <phoneticPr fontId="4" type="noConversion"/>
  <pageMargins left="0.75" right="0.75" top="1" bottom="1" header="0.5" footer="0.5"/>
  <pageSetup scale="5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tabColor indexed="44"/>
    <pageSetUpPr fitToPage="1"/>
  </sheetPr>
  <dimension ref="A1:E166"/>
  <sheetViews>
    <sheetView showGridLines="0" tabSelected="1" workbookViewId="0">
      <selection activeCell="I39" sqref="I39"/>
    </sheetView>
  </sheetViews>
  <sheetFormatPr defaultRowHeight="11.25" x14ac:dyDescent="0.2"/>
  <cols>
    <col min="1" max="1" width="37.5703125" style="1703" customWidth="1"/>
    <col min="2" max="2" width="7.7109375" style="1707" customWidth="1"/>
    <col min="3" max="3" width="47.85546875" style="1708" customWidth="1"/>
    <col min="4" max="4" width="20" style="1703" hidden="1" customWidth="1"/>
    <col min="5" max="5" width="43.42578125" style="1703" customWidth="1"/>
    <col min="6" max="16384" width="9.140625" style="1703"/>
  </cols>
  <sheetData>
    <row r="1" spans="1:5" ht="35.25" customHeight="1" x14ac:dyDescent="0.2">
      <c r="A1" s="1700" t="s">
        <v>2029</v>
      </c>
      <c r="B1" s="1701"/>
      <c r="C1" s="1702" t="s">
        <v>2028</v>
      </c>
      <c r="E1" s="1700" t="s">
        <v>2040</v>
      </c>
    </row>
    <row r="2" spans="1:5" x14ac:dyDescent="0.2">
      <c r="A2" s="1703" t="str">
        <f>B2&amp;" - "&amp;C2</f>
        <v>Vote 1 - Budget &amp; Treasury</v>
      </c>
      <c r="B2" s="1704" t="s">
        <v>1982</v>
      </c>
      <c r="C2" s="1698" t="s">
        <v>2289</v>
      </c>
      <c r="E2" s="1796"/>
    </row>
    <row r="3" spans="1:5" x14ac:dyDescent="0.2">
      <c r="A3" s="1703" t="str">
        <f>B13&amp;" - "&amp; C13</f>
        <v>Vote 2 - Community &amp; Social Services</v>
      </c>
      <c r="B3" s="1705">
        <v>1.1000000000000001</v>
      </c>
      <c r="C3" s="1699" t="s">
        <v>2290</v>
      </c>
      <c r="D3" s="1703" t="str">
        <f t="shared" ref="D3:D12" si="0">CONCATENATE(B3, " - ", C3)</f>
        <v>1.1 - Management Services</v>
      </c>
      <c r="E3" s="1797" t="s">
        <v>2316</v>
      </c>
    </row>
    <row r="4" spans="1:5" x14ac:dyDescent="0.2">
      <c r="A4" s="1703" t="str">
        <f>B24&amp;" - "&amp;C24</f>
        <v>Vote 3 - Electricity</v>
      </c>
      <c r="B4" s="1705">
        <v>1.2</v>
      </c>
      <c r="C4" s="1699" t="s">
        <v>1832</v>
      </c>
      <c r="D4" s="1703" t="str">
        <f t="shared" si="0"/>
        <v>1.2 - Finance</v>
      </c>
      <c r="E4" s="1797" t="s">
        <v>2317</v>
      </c>
    </row>
    <row r="5" spans="1:5" x14ac:dyDescent="0.2">
      <c r="A5" s="1703" t="str">
        <f>B35&amp;" - "&amp;C35</f>
        <v>Vote 4 - Executive &amp; Council</v>
      </c>
      <c r="B5" s="1705">
        <v>1.3</v>
      </c>
      <c r="C5" s="1699" t="s">
        <v>2291</v>
      </c>
      <c r="D5" s="1703" t="str">
        <f t="shared" si="0"/>
        <v>1.3 - Nature Reserve</v>
      </c>
      <c r="E5" s="1797" t="s">
        <v>2318</v>
      </c>
    </row>
    <row r="6" spans="1:5" x14ac:dyDescent="0.2">
      <c r="A6" s="1703" t="str">
        <f>B46&amp;" - "&amp;C46</f>
        <v>Vote 5 - Health</v>
      </c>
      <c r="B6" s="1705">
        <v>1.4</v>
      </c>
      <c r="C6" s="1699" t="s">
        <v>2292</v>
      </c>
      <c r="D6" s="1703" t="str">
        <f t="shared" si="0"/>
        <v>1.4 - Property Tax</v>
      </c>
      <c r="E6" s="1797" t="s">
        <v>2319</v>
      </c>
    </row>
    <row r="7" spans="1:5" x14ac:dyDescent="0.2">
      <c r="A7" s="1703" t="str">
        <f>B57&amp;" - "&amp;C57</f>
        <v>Vote 6 - Planning &amp; Development</v>
      </c>
      <c r="B7" s="1705">
        <v>1.5</v>
      </c>
      <c r="C7" s="1699" t="s">
        <v>2012</v>
      </c>
      <c r="D7" s="1703" t="str">
        <f t="shared" si="0"/>
        <v>1.5 - [Name of sub-vote]</v>
      </c>
      <c r="E7" s="1797"/>
    </row>
    <row r="8" spans="1:5" x14ac:dyDescent="0.2">
      <c r="A8" s="1703" t="str">
        <f>B68&amp;" - "&amp;C68</f>
        <v>Vote 7 - Public Safety</v>
      </c>
      <c r="B8" s="1705">
        <v>1.6</v>
      </c>
      <c r="C8" s="1699" t="s">
        <v>2012</v>
      </c>
      <c r="D8" s="1703" t="str">
        <f t="shared" si="0"/>
        <v>1.6 - [Name of sub-vote]</v>
      </c>
      <c r="E8" s="1797"/>
    </row>
    <row r="9" spans="1:5" x14ac:dyDescent="0.2">
      <c r="A9" s="1703" t="str">
        <f>B79&amp;" - "&amp;C79</f>
        <v>Vote 8 - Sport &amp; Recreation</v>
      </c>
      <c r="B9" s="1705">
        <v>1.7</v>
      </c>
      <c r="C9" s="1699" t="s">
        <v>2012</v>
      </c>
      <c r="D9" s="1703" t="str">
        <f t="shared" si="0"/>
        <v>1.7 - [Name of sub-vote]</v>
      </c>
      <c r="E9" s="1797"/>
    </row>
    <row r="10" spans="1:5" x14ac:dyDescent="0.2">
      <c r="A10" s="1703" t="str">
        <f>B90&amp;" - "&amp;C90</f>
        <v>Vote 9 - Waste Management</v>
      </c>
      <c r="B10" s="1705">
        <v>1.8</v>
      </c>
      <c r="C10" s="1699" t="s">
        <v>2012</v>
      </c>
      <c r="D10" s="1703" t="str">
        <f t="shared" si="0"/>
        <v>1.8 - [Name of sub-vote]</v>
      </c>
      <c r="E10" s="1797"/>
    </row>
    <row r="11" spans="1:5" x14ac:dyDescent="0.2">
      <c r="A11" s="1703" t="str">
        <f>B101&amp;" - "&amp;C101</f>
        <v>Vote 10 - Water</v>
      </c>
      <c r="B11" s="1705">
        <v>1.9</v>
      </c>
      <c r="C11" s="1699" t="s">
        <v>2012</v>
      </c>
      <c r="D11" s="1703" t="str">
        <f t="shared" si="0"/>
        <v>1.9 - [Name of sub-vote]</v>
      </c>
      <c r="E11" s="1797"/>
    </row>
    <row r="12" spans="1:5" x14ac:dyDescent="0.2">
      <c r="A12" s="1703" t="str">
        <f>B112&amp;" - "&amp;C112</f>
        <v>Vote 11 - [NAME OF VOTE 11]</v>
      </c>
      <c r="B12" s="1705" t="s">
        <v>2013</v>
      </c>
      <c r="C12" s="1699" t="s">
        <v>2012</v>
      </c>
      <c r="D12" s="1703" t="str">
        <f t="shared" si="0"/>
        <v>1.10 - [Name of sub-vote]</v>
      </c>
      <c r="E12" s="1797"/>
    </row>
    <row r="13" spans="1:5" x14ac:dyDescent="0.2">
      <c r="A13" s="1703" t="str">
        <f>B123&amp;" - "&amp;C123</f>
        <v>Vote 12 - [NAME OF VOTE 12]</v>
      </c>
      <c r="B13" s="1704" t="s">
        <v>1983</v>
      </c>
      <c r="C13" s="1698" t="s">
        <v>2293</v>
      </c>
      <c r="E13" s="1796"/>
    </row>
    <row r="14" spans="1:5" x14ac:dyDescent="0.2">
      <c r="A14" s="1703" t="str">
        <f>B134&amp;" - "&amp;C134</f>
        <v>Vote 13 - [NAME OF VOTE 13]</v>
      </c>
      <c r="B14" s="1705">
        <v>2.1</v>
      </c>
      <c r="C14" s="1699" t="s">
        <v>2294</v>
      </c>
      <c r="D14" s="1703" t="str">
        <f t="shared" ref="D14:D23" si="1">CONCATENATE(B14, " - ", C14)</f>
        <v>2.1 - Aerodome</v>
      </c>
      <c r="E14" s="1797" t="s">
        <v>2320</v>
      </c>
    </row>
    <row r="15" spans="1:5" x14ac:dyDescent="0.2">
      <c r="A15" s="1703" t="str">
        <f>B145&amp;" - "&amp;C145</f>
        <v>Vote 14 - [NAME OF VOTE 14]</v>
      </c>
      <c r="B15" s="1705">
        <v>2.2000000000000002</v>
      </c>
      <c r="C15" s="1699" t="s">
        <v>2295</v>
      </c>
      <c r="D15" s="1703" t="str">
        <f t="shared" si="1"/>
        <v>2.2 - Abbatoir</v>
      </c>
      <c r="E15" s="1797" t="s">
        <v>2321</v>
      </c>
    </row>
    <row r="16" spans="1:5" x14ac:dyDescent="0.2">
      <c r="A16" s="1703" t="str">
        <f>B156&amp;" - "&amp;C156</f>
        <v>Vote 15 - [NAME OF VOTE 15]</v>
      </c>
      <c r="B16" s="1705">
        <v>2.2999999999999998</v>
      </c>
      <c r="C16" s="1699" t="s">
        <v>2296</v>
      </c>
      <c r="D16" s="1703" t="str">
        <f t="shared" si="1"/>
        <v>2.3 - Library</v>
      </c>
      <c r="E16" s="1797" t="s">
        <v>2322</v>
      </c>
    </row>
    <row r="17" spans="1:5" x14ac:dyDescent="0.2">
      <c r="B17" s="1705">
        <v>2.4</v>
      </c>
      <c r="C17" s="1699" t="s">
        <v>2297</v>
      </c>
      <c r="D17" s="1703" t="str">
        <f t="shared" si="1"/>
        <v>2.4 - Administration</v>
      </c>
      <c r="E17" s="1797" t="s">
        <v>2323</v>
      </c>
    </row>
    <row r="18" spans="1:5" x14ac:dyDescent="0.2">
      <c r="B18" s="1705">
        <v>2.5</v>
      </c>
      <c r="C18" s="1699" t="s">
        <v>2298</v>
      </c>
      <c r="D18" s="1703" t="str">
        <f t="shared" si="1"/>
        <v>2.5 - Licences</v>
      </c>
      <c r="E18" s="1797" t="s">
        <v>2324</v>
      </c>
    </row>
    <row r="19" spans="1:5" x14ac:dyDescent="0.2">
      <c r="B19" s="1705">
        <v>2.6</v>
      </c>
      <c r="C19" s="1699" t="s">
        <v>2299</v>
      </c>
      <c r="D19" s="1703" t="str">
        <f t="shared" si="1"/>
        <v>2.6 - Cemetries</v>
      </c>
      <c r="E19" s="1797" t="s">
        <v>2325</v>
      </c>
    </row>
    <row r="20" spans="1:5" x14ac:dyDescent="0.2">
      <c r="B20" s="1705">
        <v>2.7</v>
      </c>
      <c r="C20" s="1699" t="s">
        <v>2012</v>
      </c>
      <c r="D20" s="1703" t="str">
        <f t="shared" si="1"/>
        <v>2.7 - [Name of sub-vote]</v>
      </c>
      <c r="E20" s="1797"/>
    </row>
    <row r="21" spans="1:5" x14ac:dyDescent="0.2">
      <c r="A21" s="1796"/>
      <c r="B21" s="1705">
        <v>2.8</v>
      </c>
      <c r="C21" s="1699" t="s">
        <v>2012</v>
      </c>
      <c r="D21" s="1703" t="str">
        <f t="shared" si="1"/>
        <v>2.8 - [Name of sub-vote]</v>
      </c>
      <c r="E21" s="1797"/>
    </row>
    <row r="22" spans="1:5" x14ac:dyDescent="0.2">
      <c r="B22" s="1705">
        <v>2.9</v>
      </c>
      <c r="C22" s="1699" t="s">
        <v>2012</v>
      </c>
      <c r="D22" s="1703" t="str">
        <f t="shared" si="1"/>
        <v>2.9 - [Name of sub-vote]</v>
      </c>
      <c r="E22" s="1797"/>
    </row>
    <row r="23" spans="1:5" x14ac:dyDescent="0.2">
      <c r="B23" s="1705" t="s">
        <v>2014</v>
      </c>
      <c r="C23" s="1699" t="s">
        <v>2012</v>
      </c>
      <c r="D23" s="1703" t="str">
        <f t="shared" si="1"/>
        <v>2.10 - [Name of sub-vote]</v>
      </c>
      <c r="E23" s="1797"/>
    </row>
    <row r="24" spans="1:5" x14ac:dyDescent="0.2">
      <c r="B24" s="1704" t="s">
        <v>1984</v>
      </c>
      <c r="C24" s="1698" t="s">
        <v>654</v>
      </c>
      <c r="E24" s="1797"/>
    </row>
    <row r="25" spans="1:5" x14ac:dyDescent="0.2">
      <c r="B25" s="1705">
        <v>3.1</v>
      </c>
      <c r="C25" s="1699" t="s">
        <v>654</v>
      </c>
      <c r="D25" s="1703" t="str">
        <f t="shared" ref="D25:D34" si="2">CONCATENATE(B25, " - ", C25)</f>
        <v>3.1 - Electricity</v>
      </c>
      <c r="E25" s="1797" t="s">
        <v>2326</v>
      </c>
    </row>
    <row r="26" spans="1:5" x14ac:dyDescent="0.2">
      <c r="B26" s="1705">
        <v>3.2</v>
      </c>
      <c r="C26" s="1699" t="s">
        <v>2012</v>
      </c>
      <c r="D26" s="1703" t="str">
        <f t="shared" si="2"/>
        <v>3.2 - [Name of sub-vote]</v>
      </c>
      <c r="E26" s="1797"/>
    </row>
    <row r="27" spans="1:5" x14ac:dyDescent="0.2">
      <c r="B27" s="1705">
        <v>3.3</v>
      </c>
      <c r="C27" s="1699" t="s">
        <v>2012</v>
      </c>
      <c r="D27" s="1703" t="str">
        <f t="shared" si="2"/>
        <v>3.3 - [Name of sub-vote]</v>
      </c>
      <c r="E27" s="1797"/>
    </row>
    <row r="28" spans="1:5" x14ac:dyDescent="0.2">
      <c r="B28" s="1705">
        <v>3.4</v>
      </c>
      <c r="C28" s="1699" t="s">
        <v>2012</v>
      </c>
      <c r="D28" s="1703" t="str">
        <f t="shared" si="2"/>
        <v>3.4 - [Name of sub-vote]</v>
      </c>
      <c r="E28" s="1797"/>
    </row>
    <row r="29" spans="1:5" x14ac:dyDescent="0.2">
      <c r="B29" s="1705">
        <v>3.5</v>
      </c>
      <c r="C29" s="1699" t="s">
        <v>2012</v>
      </c>
      <c r="D29" s="1703" t="str">
        <f t="shared" si="2"/>
        <v>3.5 - [Name of sub-vote]</v>
      </c>
      <c r="E29" s="1797"/>
    </row>
    <row r="30" spans="1:5" x14ac:dyDescent="0.2">
      <c r="B30" s="1705">
        <v>3.6</v>
      </c>
      <c r="C30" s="1699" t="s">
        <v>2012</v>
      </c>
      <c r="D30" s="1703" t="str">
        <f t="shared" si="2"/>
        <v>3.6 - [Name of sub-vote]</v>
      </c>
      <c r="E30" s="1797"/>
    </row>
    <row r="31" spans="1:5" x14ac:dyDescent="0.2">
      <c r="B31" s="1705">
        <v>3.7</v>
      </c>
      <c r="C31" s="1699" t="s">
        <v>2012</v>
      </c>
      <c r="D31" s="1703" t="str">
        <f t="shared" si="2"/>
        <v>3.7 - [Name of sub-vote]</v>
      </c>
      <c r="E31" s="1797"/>
    </row>
    <row r="32" spans="1:5" x14ac:dyDescent="0.2">
      <c r="B32" s="1705">
        <v>3.8</v>
      </c>
      <c r="C32" s="1699" t="s">
        <v>2012</v>
      </c>
      <c r="D32" s="1703" t="str">
        <f t="shared" si="2"/>
        <v>3.8 - [Name of sub-vote]</v>
      </c>
      <c r="E32" s="1797"/>
    </row>
    <row r="33" spans="2:5" x14ac:dyDescent="0.2">
      <c r="B33" s="1705">
        <v>3.9</v>
      </c>
      <c r="C33" s="1699" t="s">
        <v>2012</v>
      </c>
      <c r="D33" s="1703" t="str">
        <f t="shared" si="2"/>
        <v>3.9 - [Name of sub-vote]</v>
      </c>
      <c r="E33" s="1797"/>
    </row>
    <row r="34" spans="2:5" x14ac:dyDescent="0.2">
      <c r="B34" s="1705" t="s">
        <v>2015</v>
      </c>
      <c r="C34" s="1699" t="s">
        <v>2012</v>
      </c>
      <c r="D34" s="1703" t="str">
        <f t="shared" si="2"/>
        <v>3.10 - [Name of sub-vote]</v>
      </c>
      <c r="E34" s="1797"/>
    </row>
    <row r="35" spans="2:5" x14ac:dyDescent="0.2">
      <c r="B35" s="1704" t="s">
        <v>1985</v>
      </c>
      <c r="C35" s="1698" t="s">
        <v>2300</v>
      </c>
      <c r="E35" s="1797"/>
    </row>
    <row r="36" spans="2:5" x14ac:dyDescent="0.2">
      <c r="B36" s="1705">
        <v>4.0999999999999996</v>
      </c>
      <c r="C36" s="1699" t="s">
        <v>2301</v>
      </c>
      <c r="D36" s="1703" t="str">
        <f t="shared" ref="D36:D45" si="3">CONCATENATE(B36, " - ", C36)</f>
        <v>4.1 - Council General Expenses</v>
      </c>
      <c r="E36" s="1797" t="s">
        <v>2327</v>
      </c>
    </row>
    <row r="37" spans="2:5" x14ac:dyDescent="0.2">
      <c r="B37" s="1705">
        <v>4.2</v>
      </c>
      <c r="C37" s="1699" t="s">
        <v>2302</v>
      </c>
      <c r="D37" s="1703" t="str">
        <f t="shared" si="3"/>
        <v>4.2 - Buildings and Offices</v>
      </c>
      <c r="E37" s="1797" t="s">
        <v>2328</v>
      </c>
    </row>
    <row r="38" spans="2:5" x14ac:dyDescent="0.2">
      <c r="B38" s="1705">
        <v>4.3</v>
      </c>
      <c r="C38" s="1699" t="s">
        <v>2303</v>
      </c>
      <c r="D38" s="1703" t="str">
        <f t="shared" si="3"/>
        <v>4.3 - Municipal Staff Housing</v>
      </c>
      <c r="E38" s="1797" t="s">
        <v>2329</v>
      </c>
    </row>
    <row r="39" spans="2:5" x14ac:dyDescent="0.2">
      <c r="B39" s="1705">
        <v>4.4000000000000004</v>
      </c>
      <c r="C39" s="1699" t="s">
        <v>2012</v>
      </c>
      <c r="D39" s="1703" t="str">
        <f t="shared" si="3"/>
        <v>4.4 - [Name of sub-vote]</v>
      </c>
      <c r="E39" s="1797"/>
    </row>
    <row r="40" spans="2:5" x14ac:dyDescent="0.2">
      <c r="B40" s="1705">
        <v>4.5</v>
      </c>
      <c r="C40" s="1699" t="s">
        <v>2012</v>
      </c>
      <c r="D40" s="1703" t="str">
        <f t="shared" si="3"/>
        <v>4.5 - [Name of sub-vote]</v>
      </c>
      <c r="E40" s="1797"/>
    </row>
    <row r="41" spans="2:5" x14ac:dyDescent="0.2">
      <c r="B41" s="1705">
        <v>4.5999999999999996</v>
      </c>
      <c r="C41" s="1699" t="s">
        <v>2012</v>
      </c>
      <c r="D41" s="1703" t="str">
        <f t="shared" si="3"/>
        <v>4.6 - [Name of sub-vote]</v>
      </c>
      <c r="E41" s="1797"/>
    </row>
    <row r="42" spans="2:5" x14ac:dyDescent="0.2">
      <c r="B42" s="1705">
        <v>4.7</v>
      </c>
      <c r="C42" s="1699" t="s">
        <v>2012</v>
      </c>
      <c r="D42" s="1703" t="str">
        <f t="shared" si="3"/>
        <v>4.7 - [Name of sub-vote]</v>
      </c>
      <c r="E42" s="1797"/>
    </row>
    <row r="43" spans="2:5" x14ac:dyDescent="0.2">
      <c r="B43" s="1705">
        <v>4.8</v>
      </c>
      <c r="C43" s="1699" t="s">
        <v>2012</v>
      </c>
      <c r="D43" s="1703" t="str">
        <f t="shared" si="3"/>
        <v>4.8 - [Name of sub-vote]</v>
      </c>
      <c r="E43" s="1797"/>
    </row>
    <row r="44" spans="2:5" x14ac:dyDescent="0.2">
      <c r="B44" s="1705">
        <v>4.9000000000000004</v>
      </c>
      <c r="C44" s="1699" t="s">
        <v>2012</v>
      </c>
      <c r="D44" s="1703" t="str">
        <f t="shared" si="3"/>
        <v>4.9 - [Name of sub-vote]</v>
      </c>
      <c r="E44" s="1797"/>
    </row>
    <row r="45" spans="2:5" x14ac:dyDescent="0.2">
      <c r="B45" s="1705" t="s">
        <v>2016</v>
      </c>
      <c r="C45" s="1699" t="s">
        <v>2012</v>
      </c>
      <c r="D45" s="1703" t="str">
        <f t="shared" si="3"/>
        <v>4.10 - [Name of sub-vote]</v>
      </c>
      <c r="E45" s="1797"/>
    </row>
    <row r="46" spans="2:5" x14ac:dyDescent="0.2">
      <c r="B46" s="1704" t="s">
        <v>1986</v>
      </c>
      <c r="C46" s="1698" t="s">
        <v>1802</v>
      </c>
      <c r="E46" s="1797"/>
    </row>
    <row r="47" spans="2:5" x14ac:dyDescent="0.2">
      <c r="B47" s="1705">
        <v>5.0999999999999996</v>
      </c>
      <c r="C47" s="1699" t="s">
        <v>2304</v>
      </c>
      <c r="D47" s="1703" t="str">
        <f t="shared" ref="D47:D56" si="4">CONCATENATE(B47, " - ", C47)</f>
        <v>5.1 - Health Services</v>
      </c>
      <c r="E47" s="1797" t="s">
        <v>2330</v>
      </c>
    </row>
    <row r="48" spans="2:5" x14ac:dyDescent="0.2">
      <c r="B48" s="1705">
        <v>5.2</v>
      </c>
      <c r="C48" s="1699" t="s">
        <v>2012</v>
      </c>
      <c r="D48" s="1703" t="str">
        <f t="shared" si="4"/>
        <v>5.2 - [Name of sub-vote]</v>
      </c>
      <c r="E48" s="1797"/>
    </row>
    <row r="49" spans="2:5" x14ac:dyDescent="0.2">
      <c r="B49" s="1705">
        <v>5.3</v>
      </c>
      <c r="C49" s="1699" t="s">
        <v>2012</v>
      </c>
      <c r="D49" s="1703" t="str">
        <f t="shared" si="4"/>
        <v>5.3 - [Name of sub-vote]</v>
      </c>
      <c r="E49" s="1797"/>
    </row>
    <row r="50" spans="2:5" x14ac:dyDescent="0.2">
      <c r="B50" s="1705">
        <v>5.4</v>
      </c>
      <c r="C50" s="1699" t="s">
        <v>2012</v>
      </c>
      <c r="D50" s="1703" t="str">
        <f t="shared" si="4"/>
        <v>5.4 - [Name of sub-vote]</v>
      </c>
      <c r="E50" s="1797"/>
    </row>
    <row r="51" spans="2:5" x14ac:dyDescent="0.2">
      <c r="B51" s="1705">
        <v>5.5</v>
      </c>
      <c r="C51" s="1699" t="s">
        <v>2012</v>
      </c>
      <c r="D51" s="1703" t="str">
        <f t="shared" si="4"/>
        <v>5.5 - [Name of sub-vote]</v>
      </c>
      <c r="E51" s="1797"/>
    </row>
    <row r="52" spans="2:5" x14ac:dyDescent="0.2">
      <c r="B52" s="1705">
        <v>5.6</v>
      </c>
      <c r="C52" s="1699" t="s">
        <v>2012</v>
      </c>
      <c r="D52" s="1703" t="str">
        <f t="shared" si="4"/>
        <v>5.6 - [Name of sub-vote]</v>
      </c>
      <c r="E52" s="1797"/>
    </row>
    <row r="53" spans="2:5" x14ac:dyDescent="0.2">
      <c r="B53" s="1705">
        <v>5.7</v>
      </c>
      <c r="C53" s="1699" t="s">
        <v>2012</v>
      </c>
      <c r="D53" s="1703" t="str">
        <f t="shared" si="4"/>
        <v>5.7 - [Name of sub-vote]</v>
      </c>
      <c r="E53" s="1797"/>
    </row>
    <row r="54" spans="2:5" x14ac:dyDescent="0.2">
      <c r="B54" s="1705">
        <v>5.8</v>
      </c>
      <c r="C54" s="1699" t="s">
        <v>2012</v>
      </c>
      <c r="D54" s="1703" t="str">
        <f t="shared" si="4"/>
        <v>5.8 - [Name of sub-vote]</v>
      </c>
      <c r="E54" s="1797"/>
    </row>
    <row r="55" spans="2:5" x14ac:dyDescent="0.2">
      <c r="B55" s="1705">
        <v>5.9</v>
      </c>
      <c r="C55" s="1699" t="s">
        <v>2012</v>
      </c>
      <c r="D55" s="1703" t="str">
        <f t="shared" si="4"/>
        <v>5.9 - [Name of sub-vote]</v>
      </c>
      <c r="E55" s="1797"/>
    </row>
    <row r="56" spans="2:5" x14ac:dyDescent="0.2">
      <c r="B56" s="1705" t="s">
        <v>2017</v>
      </c>
      <c r="C56" s="1699" t="s">
        <v>2012</v>
      </c>
      <c r="D56" s="1703" t="str">
        <f t="shared" si="4"/>
        <v>5.10 - [Name of sub-vote]</v>
      </c>
      <c r="E56" s="1797"/>
    </row>
    <row r="57" spans="2:5" x14ac:dyDescent="0.2">
      <c r="B57" s="1704" t="s">
        <v>1987</v>
      </c>
      <c r="C57" s="1698" t="s">
        <v>2305</v>
      </c>
      <c r="E57" s="1797"/>
    </row>
    <row r="58" spans="2:5" x14ac:dyDescent="0.2">
      <c r="B58" s="1705">
        <v>6.1</v>
      </c>
      <c r="C58" s="1699" t="s">
        <v>2306</v>
      </c>
      <c r="D58" s="1703" t="str">
        <f t="shared" ref="D58:D67" si="5">CONCATENATE(B58, " - ", C58)</f>
        <v>6.1 - Public Works</v>
      </c>
      <c r="E58" s="1797" t="s">
        <v>2331</v>
      </c>
    </row>
    <row r="59" spans="2:5" x14ac:dyDescent="0.2">
      <c r="B59" s="1705">
        <v>6.2</v>
      </c>
      <c r="C59" s="1699" t="s">
        <v>2307</v>
      </c>
      <c r="D59" s="1703" t="str">
        <f t="shared" si="5"/>
        <v>6.2 - Roads and Stormwater Drainage</v>
      </c>
      <c r="E59" s="1797" t="s">
        <v>2332</v>
      </c>
    </row>
    <row r="60" spans="2:5" x14ac:dyDescent="0.2">
      <c r="B60" s="1705">
        <v>6.3</v>
      </c>
      <c r="C60" s="1699" t="s">
        <v>2308</v>
      </c>
      <c r="D60" s="1703" t="str">
        <f t="shared" si="5"/>
        <v>6.3 - Commonage</v>
      </c>
      <c r="E60" s="1797" t="s">
        <v>2333</v>
      </c>
    </row>
    <row r="61" spans="2:5" x14ac:dyDescent="0.2">
      <c r="B61" s="1705">
        <v>6.4</v>
      </c>
      <c r="C61" s="1699" t="s">
        <v>2309</v>
      </c>
      <c r="D61" s="1703" t="str">
        <f t="shared" si="5"/>
        <v>6.4 - Sunrise</v>
      </c>
      <c r="E61" s="1797" t="s">
        <v>2334</v>
      </c>
    </row>
    <row r="62" spans="2:5" x14ac:dyDescent="0.2">
      <c r="B62" s="1705">
        <v>6.5</v>
      </c>
      <c r="C62" s="1699" t="s">
        <v>2012</v>
      </c>
      <c r="D62" s="1703" t="str">
        <f t="shared" si="5"/>
        <v>6.5 - [Name of sub-vote]</v>
      </c>
      <c r="E62" s="1797"/>
    </row>
    <row r="63" spans="2:5" x14ac:dyDescent="0.2">
      <c r="B63" s="1705">
        <v>6.6</v>
      </c>
      <c r="C63" s="1699" t="s">
        <v>2012</v>
      </c>
      <c r="D63" s="1703" t="str">
        <f t="shared" si="5"/>
        <v>6.6 - [Name of sub-vote]</v>
      </c>
      <c r="E63" s="1797"/>
    </row>
    <row r="64" spans="2:5" x14ac:dyDescent="0.2">
      <c r="B64" s="1705">
        <v>6.7</v>
      </c>
      <c r="C64" s="1699" t="s">
        <v>2012</v>
      </c>
      <c r="D64" s="1703" t="str">
        <f t="shared" si="5"/>
        <v>6.7 - [Name of sub-vote]</v>
      </c>
      <c r="E64" s="1797"/>
    </row>
    <row r="65" spans="2:5" x14ac:dyDescent="0.2">
      <c r="B65" s="1705">
        <v>6.8</v>
      </c>
      <c r="C65" s="1699" t="s">
        <v>2012</v>
      </c>
      <c r="D65" s="1703" t="str">
        <f t="shared" si="5"/>
        <v>6.8 - [Name of sub-vote]</v>
      </c>
      <c r="E65" s="1797"/>
    </row>
    <row r="66" spans="2:5" x14ac:dyDescent="0.2">
      <c r="B66" s="1705">
        <v>6.9</v>
      </c>
      <c r="C66" s="1699" t="s">
        <v>2012</v>
      </c>
      <c r="D66" s="1703" t="str">
        <f t="shared" si="5"/>
        <v>6.9 - [Name of sub-vote]</v>
      </c>
      <c r="E66" s="1797"/>
    </row>
    <row r="67" spans="2:5" x14ac:dyDescent="0.2">
      <c r="B67" s="1705" t="s">
        <v>2018</v>
      </c>
      <c r="C67" s="1699" t="s">
        <v>2012</v>
      </c>
      <c r="D67" s="1703" t="str">
        <f t="shared" si="5"/>
        <v>6.10 - [Name of sub-vote]</v>
      </c>
      <c r="E67" s="1797"/>
    </row>
    <row r="68" spans="2:5" x14ac:dyDescent="0.2">
      <c r="B68" s="1706" t="s">
        <v>1988</v>
      </c>
      <c r="C68" s="1698" t="s">
        <v>2310</v>
      </c>
      <c r="E68" s="1797"/>
    </row>
    <row r="69" spans="2:5" x14ac:dyDescent="0.2">
      <c r="B69" s="1705">
        <v>7.1</v>
      </c>
      <c r="C69" s="1699" t="s">
        <v>2311</v>
      </c>
      <c r="D69" s="1703" t="str">
        <f t="shared" ref="D69:D78" si="6">CONCATENATE(B69, " - ", C69)</f>
        <v>7.1 - Fire Brigade</v>
      </c>
      <c r="E69" s="1797" t="s">
        <v>2335</v>
      </c>
    </row>
    <row r="70" spans="2:5" x14ac:dyDescent="0.2">
      <c r="B70" s="1705">
        <v>7.2</v>
      </c>
      <c r="C70" s="1699" t="s">
        <v>2012</v>
      </c>
      <c r="D70" s="1703" t="str">
        <f t="shared" si="6"/>
        <v>7.2 - [Name of sub-vote]</v>
      </c>
      <c r="E70" s="1797"/>
    </row>
    <row r="71" spans="2:5" x14ac:dyDescent="0.2">
      <c r="B71" s="1705">
        <v>7.3</v>
      </c>
      <c r="C71" s="1699" t="s">
        <v>2012</v>
      </c>
      <c r="D71" s="1703" t="str">
        <f t="shared" si="6"/>
        <v>7.3 - [Name of sub-vote]</v>
      </c>
      <c r="E71" s="1797"/>
    </row>
    <row r="72" spans="2:5" x14ac:dyDescent="0.2">
      <c r="B72" s="1705">
        <v>7.4</v>
      </c>
      <c r="C72" s="1699" t="s">
        <v>2012</v>
      </c>
      <c r="D72" s="1703" t="str">
        <f t="shared" si="6"/>
        <v>7.4 - [Name of sub-vote]</v>
      </c>
      <c r="E72" s="1797"/>
    </row>
    <row r="73" spans="2:5" x14ac:dyDescent="0.2">
      <c r="B73" s="1705">
        <v>7.5</v>
      </c>
      <c r="C73" s="1699" t="s">
        <v>2012</v>
      </c>
      <c r="D73" s="1703" t="str">
        <f t="shared" si="6"/>
        <v>7.5 - [Name of sub-vote]</v>
      </c>
      <c r="E73" s="1797"/>
    </row>
    <row r="74" spans="2:5" x14ac:dyDescent="0.2">
      <c r="B74" s="1705">
        <v>7.6</v>
      </c>
      <c r="C74" s="1699" t="s">
        <v>2012</v>
      </c>
      <c r="D74" s="1703" t="str">
        <f t="shared" si="6"/>
        <v>7.6 - [Name of sub-vote]</v>
      </c>
      <c r="E74" s="1797"/>
    </row>
    <row r="75" spans="2:5" x14ac:dyDescent="0.2">
      <c r="B75" s="1705">
        <v>7.7</v>
      </c>
      <c r="C75" s="1699" t="s">
        <v>2012</v>
      </c>
      <c r="D75" s="1703" t="str">
        <f t="shared" si="6"/>
        <v>7.7 - [Name of sub-vote]</v>
      </c>
      <c r="E75" s="1797"/>
    </row>
    <row r="76" spans="2:5" x14ac:dyDescent="0.2">
      <c r="B76" s="1705">
        <v>7.8</v>
      </c>
      <c r="C76" s="1699" t="s">
        <v>2012</v>
      </c>
      <c r="D76" s="1703" t="str">
        <f t="shared" si="6"/>
        <v>7.8 - [Name of sub-vote]</v>
      </c>
      <c r="E76" s="1797"/>
    </row>
    <row r="77" spans="2:5" x14ac:dyDescent="0.2">
      <c r="B77" s="1705">
        <v>7.9</v>
      </c>
      <c r="C77" s="1699" t="s">
        <v>2012</v>
      </c>
      <c r="D77" s="1703" t="str">
        <f t="shared" si="6"/>
        <v>7.9 - [Name of sub-vote]</v>
      </c>
      <c r="E77" s="1797"/>
    </row>
    <row r="78" spans="2:5" x14ac:dyDescent="0.2">
      <c r="B78" s="1705" t="s">
        <v>2019</v>
      </c>
      <c r="C78" s="1699" t="s">
        <v>2012</v>
      </c>
      <c r="D78" s="1703" t="str">
        <f t="shared" si="6"/>
        <v>7.10 - [Name of sub-vote]</v>
      </c>
      <c r="E78" s="1797"/>
    </row>
    <row r="79" spans="2:5" x14ac:dyDescent="0.2">
      <c r="B79" s="1706" t="s">
        <v>1989</v>
      </c>
      <c r="C79" s="1698" t="s">
        <v>2312</v>
      </c>
      <c r="E79" s="1797"/>
    </row>
    <row r="80" spans="2:5" x14ac:dyDescent="0.2">
      <c r="B80" s="1705">
        <v>8.1</v>
      </c>
      <c r="C80" s="1699" t="s">
        <v>2313</v>
      </c>
      <c r="D80" s="1703" t="str">
        <f t="shared" ref="D80:D89" si="7">CONCATENATE(B80, " - ", C80)</f>
        <v>8.1 - Parks and Recreation</v>
      </c>
      <c r="E80" s="1797" t="s">
        <v>2336</v>
      </c>
    </row>
    <row r="81" spans="2:5" x14ac:dyDescent="0.2">
      <c r="B81" s="1705">
        <v>8.1999999999999993</v>
      </c>
      <c r="C81" s="1699" t="s">
        <v>2012</v>
      </c>
      <c r="D81" s="1703" t="str">
        <f t="shared" si="7"/>
        <v>8.2 - [Name of sub-vote]</v>
      </c>
      <c r="E81" s="1797"/>
    </row>
    <row r="82" spans="2:5" x14ac:dyDescent="0.2">
      <c r="B82" s="1705">
        <v>8.3000000000000007</v>
      </c>
      <c r="C82" s="1699" t="s">
        <v>2012</v>
      </c>
      <c r="D82" s="1703" t="str">
        <f t="shared" si="7"/>
        <v>8.3 - [Name of sub-vote]</v>
      </c>
      <c r="E82" s="1797"/>
    </row>
    <row r="83" spans="2:5" x14ac:dyDescent="0.2">
      <c r="B83" s="1705">
        <v>8.4</v>
      </c>
      <c r="C83" s="1699" t="s">
        <v>2012</v>
      </c>
      <c r="D83" s="1703" t="str">
        <f t="shared" si="7"/>
        <v>8.4 - [Name of sub-vote]</v>
      </c>
      <c r="E83" s="1797"/>
    </row>
    <row r="84" spans="2:5" x14ac:dyDescent="0.2">
      <c r="B84" s="1705">
        <v>8.5</v>
      </c>
      <c r="C84" s="1699" t="s">
        <v>2012</v>
      </c>
      <c r="D84" s="1703" t="str">
        <f t="shared" si="7"/>
        <v>8.5 - [Name of sub-vote]</v>
      </c>
      <c r="E84" s="1797"/>
    </row>
    <row r="85" spans="2:5" x14ac:dyDescent="0.2">
      <c r="B85" s="1705">
        <v>8.6</v>
      </c>
      <c r="C85" s="1699" t="s">
        <v>2012</v>
      </c>
      <c r="D85" s="1703" t="str">
        <f t="shared" si="7"/>
        <v>8.6 - [Name of sub-vote]</v>
      </c>
      <c r="E85" s="1797"/>
    </row>
    <row r="86" spans="2:5" x14ac:dyDescent="0.2">
      <c r="B86" s="1705">
        <v>8.6999999999999993</v>
      </c>
      <c r="C86" s="1699" t="s">
        <v>2012</v>
      </c>
      <c r="D86" s="1703" t="str">
        <f t="shared" si="7"/>
        <v>8.7 - [Name of sub-vote]</v>
      </c>
      <c r="E86" s="1797"/>
    </row>
    <row r="87" spans="2:5" x14ac:dyDescent="0.2">
      <c r="B87" s="1705">
        <v>8.8000000000000007</v>
      </c>
      <c r="C87" s="1699" t="s">
        <v>2012</v>
      </c>
      <c r="D87" s="1703" t="str">
        <f t="shared" si="7"/>
        <v>8.8 - [Name of sub-vote]</v>
      </c>
      <c r="E87" s="1797"/>
    </row>
    <row r="88" spans="2:5" x14ac:dyDescent="0.2">
      <c r="B88" s="1705">
        <v>8.9</v>
      </c>
      <c r="C88" s="1699" t="s">
        <v>2012</v>
      </c>
      <c r="D88" s="1703" t="str">
        <f t="shared" si="7"/>
        <v>8.9 - [Name of sub-vote]</v>
      </c>
      <c r="E88" s="1797"/>
    </row>
    <row r="89" spans="2:5" x14ac:dyDescent="0.2">
      <c r="B89" s="1705" t="s">
        <v>2020</v>
      </c>
      <c r="C89" s="1699" t="s">
        <v>2012</v>
      </c>
      <c r="D89" s="1703" t="str">
        <f t="shared" si="7"/>
        <v>8.10 - [Name of sub-vote]</v>
      </c>
      <c r="E89" s="1797"/>
    </row>
    <row r="90" spans="2:5" x14ac:dyDescent="0.2">
      <c r="B90" s="1706" t="s">
        <v>1990</v>
      </c>
      <c r="C90" s="1698" t="s">
        <v>1090</v>
      </c>
      <c r="E90" s="1797"/>
    </row>
    <row r="91" spans="2:5" x14ac:dyDescent="0.2">
      <c r="B91" s="1705">
        <v>9.1</v>
      </c>
      <c r="C91" s="1699" t="s">
        <v>2314</v>
      </c>
      <c r="D91" s="1703" t="str">
        <f t="shared" ref="D91:D100" si="8">CONCATENATE(B91, " - ", C91)</f>
        <v>9.1 - Sewerage and Sanitation</v>
      </c>
      <c r="E91" s="1797" t="s">
        <v>2338</v>
      </c>
    </row>
    <row r="92" spans="2:5" x14ac:dyDescent="0.2">
      <c r="B92" s="1705">
        <v>9.1999999999999993</v>
      </c>
      <c r="C92" s="1699" t="s">
        <v>2315</v>
      </c>
      <c r="D92" s="1703" t="str">
        <f t="shared" si="8"/>
        <v>9.2 - Cleansing</v>
      </c>
      <c r="E92" s="1797" t="s">
        <v>2337</v>
      </c>
    </row>
    <row r="93" spans="2:5" x14ac:dyDescent="0.2">
      <c r="B93" s="1705">
        <v>9.3000000000000007</v>
      </c>
      <c r="C93" s="1699" t="s">
        <v>2012</v>
      </c>
      <c r="D93" s="1703" t="str">
        <f t="shared" si="8"/>
        <v>9.3 - [Name of sub-vote]</v>
      </c>
      <c r="E93" s="1797"/>
    </row>
    <row r="94" spans="2:5" x14ac:dyDescent="0.2">
      <c r="B94" s="1705">
        <v>9.4</v>
      </c>
      <c r="C94" s="1699" t="s">
        <v>2012</v>
      </c>
      <c r="D94" s="1703" t="str">
        <f t="shared" si="8"/>
        <v>9.4 - [Name of sub-vote]</v>
      </c>
      <c r="E94" s="1797"/>
    </row>
    <row r="95" spans="2:5" x14ac:dyDescent="0.2">
      <c r="B95" s="1705">
        <v>9.5</v>
      </c>
      <c r="C95" s="1699" t="s">
        <v>2012</v>
      </c>
      <c r="D95" s="1703" t="str">
        <f t="shared" si="8"/>
        <v>9.5 - [Name of sub-vote]</v>
      </c>
      <c r="E95" s="1797"/>
    </row>
    <row r="96" spans="2:5" x14ac:dyDescent="0.2">
      <c r="B96" s="1705">
        <v>9.6</v>
      </c>
      <c r="C96" s="1699" t="s">
        <v>2012</v>
      </c>
      <c r="D96" s="1703" t="str">
        <f t="shared" si="8"/>
        <v>9.6 - [Name of sub-vote]</v>
      </c>
      <c r="E96" s="1797"/>
    </row>
    <row r="97" spans="2:5" x14ac:dyDescent="0.2">
      <c r="B97" s="1705">
        <v>9.6999999999999993</v>
      </c>
      <c r="C97" s="1699" t="s">
        <v>2012</v>
      </c>
      <c r="D97" s="1703" t="str">
        <f t="shared" si="8"/>
        <v>9.7 - [Name of sub-vote]</v>
      </c>
      <c r="E97" s="1797"/>
    </row>
    <row r="98" spans="2:5" x14ac:dyDescent="0.2">
      <c r="B98" s="1705">
        <v>9.8000000000000007</v>
      </c>
      <c r="C98" s="1699" t="s">
        <v>2012</v>
      </c>
      <c r="D98" s="1703" t="str">
        <f t="shared" si="8"/>
        <v>9.8 - [Name of sub-vote]</v>
      </c>
      <c r="E98" s="1797"/>
    </row>
    <row r="99" spans="2:5" x14ac:dyDescent="0.2">
      <c r="B99" s="1705">
        <v>9.9</v>
      </c>
      <c r="C99" s="1699" t="s">
        <v>2012</v>
      </c>
      <c r="D99" s="1703" t="str">
        <f t="shared" si="8"/>
        <v>9.9 - [Name of sub-vote]</v>
      </c>
      <c r="E99" s="1797"/>
    </row>
    <row r="100" spans="2:5" x14ac:dyDescent="0.2">
      <c r="B100" s="1705" t="s">
        <v>2021</v>
      </c>
      <c r="C100" s="1699" t="s">
        <v>2012</v>
      </c>
      <c r="D100" s="1703" t="str">
        <f t="shared" si="8"/>
        <v>9.10 - [Name of sub-vote]</v>
      </c>
      <c r="E100" s="1797"/>
    </row>
    <row r="101" spans="2:5" x14ac:dyDescent="0.2">
      <c r="B101" s="1706" t="s">
        <v>1991</v>
      </c>
      <c r="C101" s="1698" t="s">
        <v>958</v>
      </c>
      <c r="E101" s="1797"/>
    </row>
    <row r="102" spans="2:5" x14ac:dyDescent="0.2">
      <c r="B102" s="1705">
        <v>10.1</v>
      </c>
      <c r="C102" s="1699" t="s">
        <v>739</v>
      </c>
      <c r="D102" s="1703" t="str">
        <f t="shared" ref="D102:D111" si="9">CONCATENATE(B102, " - ", C102)</f>
        <v>10.1 - Water Distribution</v>
      </c>
      <c r="E102" s="1797" t="s">
        <v>2339</v>
      </c>
    </row>
    <row r="103" spans="2:5" x14ac:dyDescent="0.2">
      <c r="B103" s="1705">
        <v>10.199999999999999</v>
      </c>
      <c r="C103" s="1699" t="s">
        <v>2012</v>
      </c>
      <c r="D103" s="1703" t="str">
        <f t="shared" si="9"/>
        <v>10.2 - [Name of sub-vote]</v>
      </c>
      <c r="E103" s="1797"/>
    </row>
    <row r="104" spans="2:5" x14ac:dyDescent="0.2">
      <c r="B104" s="1705">
        <v>10.3</v>
      </c>
      <c r="C104" s="1699" t="s">
        <v>2012</v>
      </c>
      <c r="D104" s="1703" t="str">
        <f t="shared" si="9"/>
        <v>10.3 - [Name of sub-vote]</v>
      </c>
      <c r="E104" s="1797"/>
    </row>
    <row r="105" spans="2:5" x14ac:dyDescent="0.2">
      <c r="B105" s="1705">
        <v>10.4</v>
      </c>
      <c r="C105" s="1699" t="s">
        <v>2012</v>
      </c>
      <c r="D105" s="1703" t="str">
        <f t="shared" si="9"/>
        <v>10.4 - [Name of sub-vote]</v>
      </c>
      <c r="E105" s="1797"/>
    </row>
    <row r="106" spans="2:5" x14ac:dyDescent="0.2">
      <c r="B106" s="1705">
        <v>10.5</v>
      </c>
      <c r="C106" s="1699" t="s">
        <v>2012</v>
      </c>
      <c r="D106" s="1703" t="str">
        <f t="shared" si="9"/>
        <v>10.5 - [Name of sub-vote]</v>
      </c>
      <c r="E106" s="1797"/>
    </row>
    <row r="107" spans="2:5" x14ac:dyDescent="0.2">
      <c r="B107" s="1705">
        <v>10.6</v>
      </c>
      <c r="C107" s="1699" t="s">
        <v>2012</v>
      </c>
      <c r="D107" s="1703" t="str">
        <f t="shared" si="9"/>
        <v>10.6 - [Name of sub-vote]</v>
      </c>
      <c r="E107" s="1797"/>
    </row>
    <row r="108" spans="2:5" x14ac:dyDescent="0.2">
      <c r="B108" s="1705">
        <v>10.7</v>
      </c>
      <c r="C108" s="1699" t="s">
        <v>2012</v>
      </c>
      <c r="D108" s="1703" t="str">
        <f t="shared" si="9"/>
        <v>10.7 - [Name of sub-vote]</v>
      </c>
      <c r="E108" s="1797"/>
    </row>
    <row r="109" spans="2:5" x14ac:dyDescent="0.2">
      <c r="B109" s="1705">
        <v>10.8</v>
      </c>
      <c r="C109" s="1699" t="s">
        <v>2012</v>
      </c>
      <c r="D109" s="1703" t="str">
        <f t="shared" si="9"/>
        <v>10.8 - [Name of sub-vote]</v>
      </c>
      <c r="E109" s="1797"/>
    </row>
    <row r="110" spans="2:5" x14ac:dyDescent="0.2">
      <c r="B110" s="1705">
        <v>10.9</v>
      </c>
      <c r="C110" s="1699" t="s">
        <v>2012</v>
      </c>
      <c r="D110" s="1703" t="str">
        <f t="shared" si="9"/>
        <v>10.9 - [Name of sub-vote]</v>
      </c>
      <c r="E110" s="1797"/>
    </row>
    <row r="111" spans="2:5" x14ac:dyDescent="0.2">
      <c r="B111" s="1705" t="s">
        <v>2022</v>
      </c>
      <c r="C111" s="1699" t="s">
        <v>2012</v>
      </c>
      <c r="D111" s="1703" t="str">
        <f t="shared" si="9"/>
        <v>10.10 - [Name of sub-vote]</v>
      </c>
      <c r="E111" s="1797"/>
    </row>
    <row r="112" spans="2:5" x14ac:dyDescent="0.2">
      <c r="B112" s="1706" t="s">
        <v>1992</v>
      </c>
      <c r="C112" s="1698" t="s">
        <v>2030</v>
      </c>
      <c r="E112" s="1797"/>
    </row>
    <row r="113" spans="2:5" x14ac:dyDescent="0.2">
      <c r="B113" s="1705">
        <v>11.1</v>
      </c>
      <c r="C113" s="1699" t="s">
        <v>2012</v>
      </c>
      <c r="D113" s="1703" t="str">
        <f t="shared" ref="D113:D122" si="10">CONCATENATE(B113, " - ", C113)</f>
        <v>11.1 - [Name of sub-vote]</v>
      </c>
      <c r="E113" s="1797" t="s">
        <v>2035</v>
      </c>
    </row>
    <row r="114" spans="2:5" x14ac:dyDescent="0.2">
      <c r="B114" s="1705">
        <v>11.2</v>
      </c>
      <c r="C114" s="1699" t="s">
        <v>2012</v>
      </c>
      <c r="D114" s="1703" t="str">
        <f t="shared" si="10"/>
        <v>11.2 - [Name of sub-vote]</v>
      </c>
      <c r="E114" s="1797"/>
    </row>
    <row r="115" spans="2:5" x14ac:dyDescent="0.2">
      <c r="B115" s="1705">
        <v>11.3</v>
      </c>
      <c r="C115" s="1699" t="s">
        <v>2012</v>
      </c>
      <c r="D115" s="1703" t="str">
        <f t="shared" si="10"/>
        <v>11.3 - [Name of sub-vote]</v>
      </c>
      <c r="E115" s="1797"/>
    </row>
    <row r="116" spans="2:5" x14ac:dyDescent="0.2">
      <c r="B116" s="1705">
        <v>11.4</v>
      </c>
      <c r="C116" s="1699" t="s">
        <v>2012</v>
      </c>
      <c r="D116" s="1703" t="str">
        <f t="shared" si="10"/>
        <v>11.4 - [Name of sub-vote]</v>
      </c>
      <c r="E116" s="1797"/>
    </row>
    <row r="117" spans="2:5" x14ac:dyDescent="0.2">
      <c r="B117" s="1705">
        <v>11.5</v>
      </c>
      <c r="C117" s="1699" t="s">
        <v>2012</v>
      </c>
      <c r="D117" s="1703" t="str">
        <f t="shared" si="10"/>
        <v>11.5 - [Name of sub-vote]</v>
      </c>
      <c r="E117" s="1797"/>
    </row>
    <row r="118" spans="2:5" x14ac:dyDescent="0.2">
      <c r="B118" s="1705">
        <v>11.6</v>
      </c>
      <c r="C118" s="1699" t="s">
        <v>2012</v>
      </c>
      <c r="D118" s="1703" t="str">
        <f t="shared" si="10"/>
        <v>11.6 - [Name of sub-vote]</v>
      </c>
      <c r="E118" s="1797"/>
    </row>
    <row r="119" spans="2:5" x14ac:dyDescent="0.2">
      <c r="B119" s="1705">
        <v>11.7</v>
      </c>
      <c r="C119" s="1699" t="s">
        <v>2012</v>
      </c>
      <c r="D119" s="1703" t="str">
        <f t="shared" si="10"/>
        <v>11.7 - [Name of sub-vote]</v>
      </c>
      <c r="E119" s="1797"/>
    </row>
    <row r="120" spans="2:5" x14ac:dyDescent="0.2">
      <c r="B120" s="1705">
        <v>11.8</v>
      </c>
      <c r="C120" s="1699" t="s">
        <v>2012</v>
      </c>
      <c r="D120" s="1703" t="str">
        <f t="shared" si="10"/>
        <v>11.8 - [Name of sub-vote]</v>
      </c>
      <c r="E120" s="1797"/>
    </row>
    <row r="121" spans="2:5" x14ac:dyDescent="0.2">
      <c r="B121" s="1705">
        <v>11.9</v>
      </c>
      <c r="C121" s="1699" t="s">
        <v>2012</v>
      </c>
      <c r="D121" s="1703" t="str">
        <f t="shared" si="10"/>
        <v>11.9 - [Name of sub-vote]</v>
      </c>
      <c r="E121" s="1797"/>
    </row>
    <row r="122" spans="2:5" x14ac:dyDescent="0.2">
      <c r="B122" s="1705" t="s">
        <v>2023</v>
      </c>
      <c r="C122" s="1699" t="s">
        <v>2012</v>
      </c>
      <c r="D122" s="1703" t="str">
        <f t="shared" si="10"/>
        <v>11.10 - [Name of sub-vote]</v>
      </c>
      <c r="E122" s="1797"/>
    </row>
    <row r="123" spans="2:5" x14ac:dyDescent="0.2">
      <c r="B123" s="1706" t="s">
        <v>1993</v>
      </c>
      <c r="C123" s="1698" t="s">
        <v>2031</v>
      </c>
      <c r="E123" s="1797"/>
    </row>
    <row r="124" spans="2:5" x14ac:dyDescent="0.2">
      <c r="B124" s="1705">
        <v>12.1</v>
      </c>
      <c r="C124" s="1699" t="s">
        <v>2012</v>
      </c>
      <c r="D124" s="1703" t="str">
        <f t="shared" ref="D124:D133" si="11">CONCATENATE(B124, " - ", C124)</f>
        <v>12.1 - [Name of sub-vote]</v>
      </c>
      <c r="E124" s="1797" t="s">
        <v>2036</v>
      </c>
    </row>
    <row r="125" spans="2:5" x14ac:dyDescent="0.2">
      <c r="B125" s="1705">
        <v>12.2</v>
      </c>
      <c r="C125" s="1699" t="s">
        <v>2012</v>
      </c>
      <c r="D125" s="1703" t="str">
        <f t="shared" si="11"/>
        <v>12.2 - [Name of sub-vote]</v>
      </c>
      <c r="E125" s="1797"/>
    </row>
    <row r="126" spans="2:5" x14ac:dyDescent="0.2">
      <c r="B126" s="1705">
        <v>12.3</v>
      </c>
      <c r="C126" s="1699" t="s">
        <v>2012</v>
      </c>
      <c r="D126" s="1703" t="str">
        <f t="shared" si="11"/>
        <v>12.3 - [Name of sub-vote]</v>
      </c>
      <c r="E126" s="1797"/>
    </row>
    <row r="127" spans="2:5" x14ac:dyDescent="0.2">
      <c r="B127" s="1705">
        <v>12.4</v>
      </c>
      <c r="C127" s="1699" t="s">
        <v>2012</v>
      </c>
      <c r="D127" s="1703" t="str">
        <f t="shared" si="11"/>
        <v>12.4 - [Name of sub-vote]</v>
      </c>
      <c r="E127" s="1797"/>
    </row>
    <row r="128" spans="2:5" x14ac:dyDescent="0.2">
      <c r="B128" s="1705">
        <v>12.5</v>
      </c>
      <c r="C128" s="1699" t="s">
        <v>2012</v>
      </c>
      <c r="D128" s="1703" t="str">
        <f t="shared" si="11"/>
        <v>12.5 - [Name of sub-vote]</v>
      </c>
      <c r="E128" s="1797"/>
    </row>
    <row r="129" spans="2:5" x14ac:dyDescent="0.2">
      <c r="B129" s="1705">
        <v>12.6</v>
      </c>
      <c r="C129" s="1699" t="s">
        <v>2012</v>
      </c>
      <c r="D129" s="1703" t="str">
        <f t="shared" si="11"/>
        <v>12.6 - [Name of sub-vote]</v>
      </c>
      <c r="E129" s="1797"/>
    </row>
    <row r="130" spans="2:5" x14ac:dyDescent="0.2">
      <c r="B130" s="1705">
        <v>12.7</v>
      </c>
      <c r="C130" s="1699" t="s">
        <v>2012</v>
      </c>
      <c r="D130" s="1703" t="str">
        <f t="shared" si="11"/>
        <v>12.7 - [Name of sub-vote]</v>
      </c>
      <c r="E130" s="1797"/>
    </row>
    <row r="131" spans="2:5" x14ac:dyDescent="0.2">
      <c r="B131" s="1705">
        <v>12.8</v>
      </c>
      <c r="C131" s="1699" t="s">
        <v>2012</v>
      </c>
      <c r="D131" s="1703" t="str">
        <f t="shared" si="11"/>
        <v>12.8 - [Name of sub-vote]</v>
      </c>
      <c r="E131" s="1797"/>
    </row>
    <row r="132" spans="2:5" x14ac:dyDescent="0.2">
      <c r="B132" s="1705">
        <v>12.9</v>
      </c>
      <c r="C132" s="1699" t="s">
        <v>2012</v>
      </c>
      <c r="D132" s="1703" t="str">
        <f t="shared" si="11"/>
        <v>12.9 - [Name of sub-vote]</v>
      </c>
      <c r="E132" s="1797"/>
    </row>
    <row r="133" spans="2:5" x14ac:dyDescent="0.2">
      <c r="B133" s="1705" t="s">
        <v>2024</v>
      </c>
      <c r="C133" s="1699" t="s">
        <v>2012</v>
      </c>
      <c r="D133" s="1703" t="str">
        <f t="shared" si="11"/>
        <v>12.10 - [Name of sub-vote]</v>
      </c>
      <c r="E133" s="1797"/>
    </row>
    <row r="134" spans="2:5" x14ac:dyDescent="0.2">
      <c r="B134" s="1706" t="s">
        <v>1994</v>
      </c>
      <c r="C134" s="1698" t="s">
        <v>2032</v>
      </c>
      <c r="E134" s="1797"/>
    </row>
    <row r="135" spans="2:5" x14ac:dyDescent="0.2">
      <c r="B135" s="1705">
        <v>13.1</v>
      </c>
      <c r="C135" s="1699" t="s">
        <v>2012</v>
      </c>
      <c r="D135" s="1703" t="str">
        <f t="shared" ref="D135:D144" si="12">CONCATENATE(B135, " - ", C135)</f>
        <v>13.1 - [Name of sub-vote]</v>
      </c>
      <c r="E135" s="1797" t="s">
        <v>2037</v>
      </c>
    </row>
    <row r="136" spans="2:5" x14ac:dyDescent="0.2">
      <c r="B136" s="1705">
        <v>13.2</v>
      </c>
      <c r="C136" s="1699" t="s">
        <v>2012</v>
      </c>
      <c r="D136" s="1703" t="str">
        <f t="shared" si="12"/>
        <v>13.2 - [Name of sub-vote]</v>
      </c>
      <c r="E136" s="1797"/>
    </row>
    <row r="137" spans="2:5" x14ac:dyDescent="0.2">
      <c r="B137" s="1705">
        <v>13.3</v>
      </c>
      <c r="C137" s="1699" t="s">
        <v>2012</v>
      </c>
      <c r="D137" s="1703" t="str">
        <f t="shared" si="12"/>
        <v>13.3 - [Name of sub-vote]</v>
      </c>
      <c r="E137" s="1797"/>
    </row>
    <row r="138" spans="2:5" x14ac:dyDescent="0.2">
      <c r="B138" s="1705">
        <v>13.4</v>
      </c>
      <c r="C138" s="1699" t="s">
        <v>2012</v>
      </c>
      <c r="D138" s="1703" t="str">
        <f t="shared" si="12"/>
        <v>13.4 - [Name of sub-vote]</v>
      </c>
      <c r="E138" s="1797"/>
    </row>
    <row r="139" spans="2:5" x14ac:dyDescent="0.2">
      <c r="B139" s="1705">
        <v>13.5</v>
      </c>
      <c r="C139" s="1699" t="s">
        <v>2012</v>
      </c>
      <c r="D139" s="1703" t="str">
        <f t="shared" si="12"/>
        <v>13.5 - [Name of sub-vote]</v>
      </c>
      <c r="E139" s="1797"/>
    </row>
    <row r="140" spans="2:5" x14ac:dyDescent="0.2">
      <c r="B140" s="1705">
        <v>13.6</v>
      </c>
      <c r="C140" s="1699" t="s">
        <v>2012</v>
      </c>
      <c r="D140" s="1703" t="str">
        <f t="shared" si="12"/>
        <v>13.6 - [Name of sub-vote]</v>
      </c>
      <c r="E140" s="1797"/>
    </row>
    <row r="141" spans="2:5" x14ac:dyDescent="0.2">
      <c r="B141" s="1705">
        <v>13.7</v>
      </c>
      <c r="C141" s="1699" t="s">
        <v>2012</v>
      </c>
      <c r="D141" s="1703" t="str">
        <f t="shared" si="12"/>
        <v>13.7 - [Name of sub-vote]</v>
      </c>
      <c r="E141" s="1797"/>
    </row>
    <row r="142" spans="2:5" x14ac:dyDescent="0.2">
      <c r="B142" s="1705">
        <v>13.8</v>
      </c>
      <c r="C142" s="1699" t="s">
        <v>2012</v>
      </c>
      <c r="D142" s="1703" t="str">
        <f t="shared" si="12"/>
        <v>13.8 - [Name of sub-vote]</v>
      </c>
      <c r="E142" s="1797"/>
    </row>
    <row r="143" spans="2:5" x14ac:dyDescent="0.2">
      <c r="B143" s="1705">
        <v>13.9</v>
      </c>
      <c r="C143" s="1699" t="s">
        <v>2012</v>
      </c>
      <c r="D143" s="1703" t="str">
        <f t="shared" si="12"/>
        <v>13.9 - [Name of sub-vote]</v>
      </c>
      <c r="E143" s="1797"/>
    </row>
    <row r="144" spans="2:5" x14ac:dyDescent="0.2">
      <c r="B144" s="1705" t="s">
        <v>2025</v>
      </c>
      <c r="C144" s="1699" t="s">
        <v>2012</v>
      </c>
      <c r="D144" s="1703" t="str">
        <f t="shared" si="12"/>
        <v>13.10 - [Name of sub-vote]</v>
      </c>
      <c r="E144" s="1797"/>
    </row>
    <row r="145" spans="2:5" x14ac:dyDescent="0.2">
      <c r="B145" s="1706" t="s">
        <v>1995</v>
      </c>
      <c r="C145" s="1698" t="s">
        <v>2033</v>
      </c>
      <c r="E145" s="1797"/>
    </row>
    <row r="146" spans="2:5" x14ac:dyDescent="0.2">
      <c r="B146" s="1705">
        <v>14.1</v>
      </c>
      <c r="C146" s="1699" t="s">
        <v>2012</v>
      </c>
      <c r="D146" s="1703" t="str">
        <f t="shared" ref="D146:D155" si="13">CONCATENATE(B146, " - ", C146)</f>
        <v>14.1 - [Name of sub-vote]</v>
      </c>
      <c r="E146" s="1797" t="s">
        <v>2038</v>
      </c>
    </row>
    <row r="147" spans="2:5" x14ac:dyDescent="0.2">
      <c r="B147" s="1705">
        <v>14.2</v>
      </c>
      <c r="C147" s="1699" t="s">
        <v>2012</v>
      </c>
      <c r="D147" s="1703" t="str">
        <f t="shared" si="13"/>
        <v>14.2 - [Name of sub-vote]</v>
      </c>
      <c r="E147" s="1797"/>
    </row>
    <row r="148" spans="2:5" x14ac:dyDescent="0.2">
      <c r="B148" s="1705">
        <v>14.3</v>
      </c>
      <c r="C148" s="1699" t="s">
        <v>2012</v>
      </c>
      <c r="D148" s="1703" t="str">
        <f t="shared" si="13"/>
        <v>14.3 - [Name of sub-vote]</v>
      </c>
      <c r="E148" s="1797"/>
    </row>
    <row r="149" spans="2:5" x14ac:dyDescent="0.2">
      <c r="B149" s="1705">
        <v>14.4</v>
      </c>
      <c r="C149" s="1699" t="s">
        <v>2012</v>
      </c>
      <c r="D149" s="1703" t="str">
        <f t="shared" si="13"/>
        <v>14.4 - [Name of sub-vote]</v>
      </c>
      <c r="E149" s="1797"/>
    </row>
    <row r="150" spans="2:5" x14ac:dyDescent="0.2">
      <c r="B150" s="1705">
        <v>14.5</v>
      </c>
      <c r="C150" s="1699" t="s">
        <v>2012</v>
      </c>
      <c r="D150" s="1703" t="str">
        <f t="shared" si="13"/>
        <v>14.5 - [Name of sub-vote]</v>
      </c>
      <c r="E150" s="1797"/>
    </row>
    <row r="151" spans="2:5" x14ac:dyDescent="0.2">
      <c r="B151" s="1705">
        <v>14.6</v>
      </c>
      <c r="C151" s="1699" t="s">
        <v>2012</v>
      </c>
      <c r="D151" s="1703" t="str">
        <f t="shared" si="13"/>
        <v>14.6 - [Name of sub-vote]</v>
      </c>
      <c r="E151" s="1797"/>
    </row>
    <row r="152" spans="2:5" x14ac:dyDescent="0.2">
      <c r="B152" s="1705">
        <v>14.7</v>
      </c>
      <c r="C152" s="1699" t="s">
        <v>2012</v>
      </c>
      <c r="D152" s="1703" t="str">
        <f t="shared" si="13"/>
        <v>14.7 - [Name of sub-vote]</v>
      </c>
      <c r="E152" s="1797"/>
    </row>
    <row r="153" spans="2:5" x14ac:dyDescent="0.2">
      <c r="B153" s="1705">
        <v>14.8</v>
      </c>
      <c r="C153" s="1699" t="s">
        <v>2012</v>
      </c>
      <c r="D153" s="1703" t="str">
        <f t="shared" si="13"/>
        <v>14.8 - [Name of sub-vote]</v>
      </c>
      <c r="E153" s="1797"/>
    </row>
    <row r="154" spans="2:5" x14ac:dyDescent="0.2">
      <c r="B154" s="1705">
        <v>14.9</v>
      </c>
      <c r="C154" s="1699" t="s">
        <v>2012</v>
      </c>
      <c r="D154" s="1703" t="str">
        <f t="shared" si="13"/>
        <v>14.9 - [Name of sub-vote]</v>
      </c>
      <c r="E154" s="1797"/>
    </row>
    <row r="155" spans="2:5" x14ac:dyDescent="0.2">
      <c r="B155" s="1705" t="s">
        <v>2026</v>
      </c>
      <c r="C155" s="1699" t="s">
        <v>2012</v>
      </c>
      <c r="D155" s="1703" t="str">
        <f t="shared" si="13"/>
        <v>14.10 - [Name of sub-vote]</v>
      </c>
      <c r="E155" s="1797"/>
    </row>
    <row r="156" spans="2:5" x14ac:dyDescent="0.2">
      <c r="B156" s="1706" t="s">
        <v>1996</v>
      </c>
      <c r="C156" s="1698" t="s">
        <v>2034</v>
      </c>
      <c r="E156" s="1797"/>
    </row>
    <row r="157" spans="2:5" x14ac:dyDescent="0.2">
      <c r="B157" s="1705">
        <v>15.1</v>
      </c>
      <c r="C157" s="1699" t="s">
        <v>2012</v>
      </c>
      <c r="D157" s="1703" t="str">
        <f t="shared" ref="D157:D166" si="14">CONCATENATE(B157, " - ", C157)</f>
        <v>15.1 - [Name of sub-vote]</v>
      </c>
      <c r="E157" s="1797" t="s">
        <v>2039</v>
      </c>
    </row>
    <row r="158" spans="2:5" x14ac:dyDescent="0.2">
      <c r="B158" s="1705">
        <v>15.2</v>
      </c>
      <c r="C158" s="1699" t="s">
        <v>2012</v>
      </c>
      <c r="D158" s="1703" t="str">
        <f t="shared" si="14"/>
        <v>15.2 - [Name of sub-vote]</v>
      </c>
      <c r="E158" s="1797"/>
    </row>
    <row r="159" spans="2:5" x14ac:dyDescent="0.2">
      <c r="B159" s="1705">
        <v>15.3</v>
      </c>
      <c r="C159" s="1699" t="s">
        <v>2012</v>
      </c>
      <c r="D159" s="1703" t="str">
        <f t="shared" si="14"/>
        <v>15.3 - [Name of sub-vote]</v>
      </c>
      <c r="E159" s="1797"/>
    </row>
    <row r="160" spans="2:5" x14ac:dyDescent="0.2">
      <c r="B160" s="1705">
        <v>15.4</v>
      </c>
      <c r="C160" s="1699" t="s">
        <v>2012</v>
      </c>
      <c r="D160" s="1703" t="str">
        <f t="shared" si="14"/>
        <v>15.4 - [Name of sub-vote]</v>
      </c>
      <c r="E160" s="1797"/>
    </row>
    <row r="161" spans="2:5" x14ac:dyDescent="0.2">
      <c r="B161" s="1705">
        <v>15.5</v>
      </c>
      <c r="C161" s="1699" t="s">
        <v>2012</v>
      </c>
      <c r="D161" s="1703" t="str">
        <f t="shared" si="14"/>
        <v>15.5 - [Name of sub-vote]</v>
      </c>
      <c r="E161" s="1797"/>
    </row>
    <row r="162" spans="2:5" x14ac:dyDescent="0.2">
      <c r="B162" s="1705">
        <v>15.6</v>
      </c>
      <c r="C162" s="1699" t="s">
        <v>2012</v>
      </c>
      <c r="D162" s="1703" t="str">
        <f t="shared" si="14"/>
        <v>15.6 - [Name of sub-vote]</v>
      </c>
      <c r="E162" s="1797"/>
    </row>
    <row r="163" spans="2:5" x14ac:dyDescent="0.2">
      <c r="B163" s="1705">
        <v>15.7</v>
      </c>
      <c r="C163" s="1699" t="s">
        <v>2012</v>
      </c>
      <c r="D163" s="1703" t="str">
        <f t="shared" si="14"/>
        <v>15.7 - [Name of sub-vote]</v>
      </c>
      <c r="E163" s="1797"/>
    </row>
    <row r="164" spans="2:5" x14ac:dyDescent="0.2">
      <c r="B164" s="1705">
        <v>15.8</v>
      </c>
      <c r="C164" s="1699" t="s">
        <v>2012</v>
      </c>
      <c r="D164" s="1703" t="str">
        <f t="shared" si="14"/>
        <v>15.8 - [Name of sub-vote]</v>
      </c>
      <c r="E164" s="1797"/>
    </row>
    <row r="165" spans="2:5" x14ac:dyDescent="0.2">
      <c r="B165" s="1705">
        <v>15.9</v>
      </c>
      <c r="C165" s="1699" t="s">
        <v>2012</v>
      </c>
      <c r="D165" s="1703" t="str">
        <f t="shared" si="14"/>
        <v>15.9 - [Name of sub-vote]</v>
      </c>
      <c r="E165" s="1797"/>
    </row>
    <row r="166" spans="2:5" x14ac:dyDescent="0.2">
      <c r="B166" s="1705" t="s">
        <v>2027</v>
      </c>
      <c r="C166" s="1699" t="s">
        <v>2012</v>
      </c>
      <c r="D166" s="1703" t="str">
        <f t="shared" si="14"/>
        <v>15.10 - [Name of sub-vote]</v>
      </c>
      <c r="E166" s="1797"/>
    </row>
  </sheetData>
  <sheetProtection password="C646" sheet="1" objects="1" scenarios="1"/>
  <phoneticPr fontId="4" type="noConversion"/>
  <dataValidations count="15">
    <dataValidation type="list" allowBlank="1" showInputMessage="1" showErrorMessage="1" sqref="E3:E12">
      <formula1>Vote1</formula1>
    </dataValidation>
    <dataValidation type="list" allowBlank="1" showInputMessage="1" showErrorMessage="1" sqref="E14:E23">
      <formula1>Vote2</formula1>
    </dataValidation>
    <dataValidation type="list" allowBlank="1" showInputMessage="1" showErrorMessage="1" sqref="E25:E34">
      <formula1>Vote3</formula1>
    </dataValidation>
    <dataValidation type="list" allowBlank="1" showInputMessage="1" showErrorMessage="1" sqref="E36:E45">
      <formula1>Vote4</formula1>
    </dataValidation>
    <dataValidation type="list" allowBlank="1" showInputMessage="1" showErrorMessage="1" sqref="E47:E56">
      <formula1>Vote5</formula1>
    </dataValidation>
    <dataValidation type="list" allowBlank="1" showInputMessage="1" showErrorMessage="1" sqref="E58:E67">
      <formula1>Vote6</formula1>
    </dataValidation>
    <dataValidation type="list" allowBlank="1" showInputMessage="1" showErrorMessage="1" sqref="E69:E78">
      <formula1>Vote7</formula1>
    </dataValidation>
    <dataValidation type="list" allowBlank="1" showInputMessage="1" showErrorMessage="1" sqref="E80:E89">
      <formula1>Vote8</formula1>
    </dataValidation>
    <dataValidation type="list" allowBlank="1" showInputMessage="1" showErrorMessage="1" sqref="E91:E100">
      <formula1>Vote9</formula1>
    </dataValidation>
    <dataValidation type="list" allowBlank="1" showInputMessage="1" showErrorMessage="1" sqref="E102:E111">
      <formula1>Vote10</formula1>
    </dataValidation>
    <dataValidation type="list" allowBlank="1" showInputMessage="1" showErrorMessage="1" sqref="E113:E122">
      <formula1>Vote11</formula1>
    </dataValidation>
    <dataValidation type="list" allowBlank="1" showInputMessage="1" showErrorMessage="1" sqref="E124:E133">
      <formula1>Vote12</formula1>
    </dataValidation>
    <dataValidation type="list" allowBlank="1" showInputMessage="1" showErrorMessage="1" sqref="E135:E144">
      <formula1>Vote13</formula1>
    </dataValidation>
    <dataValidation type="list" allowBlank="1" showInputMessage="1" showErrorMessage="1" sqref="E146:E155">
      <formula1>Vote14</formula1>
    </dataValidation>
    <dataValidation type="list" allowBlank="1" showInputMessage="1" showErrorMessage="1" sqref="E157:E166">
      <formula1>Vote15</formula1>
    </dataValidation>
  </dataValidations>
  <pageMargins left="0.75" right="0.75" top="1" bottom="1" header="0.5" footer="0.5"/>
  <pageSetup scale="35" orientation="portrait" r:id="rId1"/>
  <headerFooter alignWithMargins="0"/>
  <ignoredErrors>
    <ignoredError sqref="B12 B23 B34 B45 B56 B67 B78 B89 B100 B111 B122 B133 B144 B155 B166" numberStoredAsText="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enableFormatConditionsCalculation="0">
    <tabColor indexed="42"/>
    <pageSetUpPr fitToPage="1"/>
  </sheetPr>
  <dimension ref="A1:AR191"/>
  <sheetViews>
    <sheetView showGridLines="0" tabSelected="1" workbookViewId="0">
      <pane xSplit="1" ySplit="3" topLeftCell="B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13" width="8.28515625" style="338" customWidth="1"/>
    <col min="14" max="16" width="9.28515625" style="338" customWidth="1"/>
    <col min="17" max="17" width="9.85546875" style="338" hidden="1" customWidth="1"/>
    <col min="18" max="18" width="9.5703125" style="338" hidden="1" customWidth="1"/>
    <col min="19" max="19" width="9.85546875" style="338" hidden="1" customWidth="1"/>
    <col min="20" max="20" width="11.28515625" style="338" customWidth="1"/>
    <col min="21" max="21" width="9.5703125" style="148" bestFit="1" customWidth="1"/>
    <col min="22" max="25" width="9.85546875" style="148" bestFit="1" customWidth="1"/>
    <col min="26" max="27" width="9.5703125" style="148" bestFit="1" customWidth="1"/>
    <col min="28" max="28" width="9.85546875" style="148" bestFit="1" customWidth="1"/>
    <col min="29" max="16384" width="9.140625" style="148"/>
  </cols>
  <sheetData>
    <row r="1" spans="1:29" ht="13.5" customHeight="1" x14ac:dyDescent="0.25">
      <c r="A1" s="146" t="s">
        <v>2554</v>
      </c>
      <c r="B1" s="1997"/>
      <c r="C1" s="1997"/>
      <c r="D1" s="1997"/>
      <c r="E1" s="1997"/>
      <c r="F1" s="1997"/>
      <c r="G1" s="1997"/>
      <c r="H1" s="1997"/>
      <c r="I1" s="1997"/>
      <c r="J1" s="1997"/>
      <c r="K1" s="1997"/>
      <c r="L1" s="1997"/>
      <c r="M1" s="1997"/>
      <c r="N1" s="1997"/>
      <c r="O1" s="1997"/>
      <c r="P1" s="1997"/>
      <c r="Q1" s="1997"/>
    </row>
    <row r="2" spans="1:29" ht="28.5" customHeight="1" x14ac:dyDescent="0.25">
      <c r="A2" s="801" t="s">
        <v>421</v>
      </c>
      <c r="B2" s="2700" t="s">
        <v>2483</v>
      </c>
      <c r="C2" s="2701"/>
      <c r="D2" s="2701"/>
      <c r="E2" s="2701"/>
      <c r="F2" s="2701"/>
      <c r="G2" s="2701"/>
      <c r="H2" s="2701"/>
      <c r="I2" s="2701"/>
      <c r="J2" s="2701"/>
      <c r="K2" s="2701"/>
      <c r="L2" s="2701"/>
      <c r="M2" s="2701"/>
      <c r="N2" s="2697" t="s">
        <v>1806</v>
      </c>
      <c r="O2" s="2698"/>
      <c r="P2" s="2699"/>
    </row>
    <row r="3" spans="1:29" ht="25.5" x14ac:dyDescent="0.25">
      <c r="A3" s="179" t="s">
        <v>667</v>
      </c>
      <c r="B3" s="2004" t="s">
        <v>725</v>
      </c>
      <c r="C3" s="741" t="s">
        <v>1416</v>
      </c>
      <c r="D3" s="741" t="s">
        <v>1417</v>
      </c>
      <c r="E3" s="741" t="s">
        <v>1418</v>
      </c>
      <c r="F3" s="741" t="s">
        <v>706</v>
      </c>
      <c r="G3" s="741" t="s">
        <v>707</v>
      </c>
      <c r="H3" s="741" t="s">
        <v>708</v>
      </c>
      <c r="I3" s="741" t="s">
        <v>709</v>
      </c>
      <c r="J3" s="741" t="s">
        <v>710</v>
      </c>
      <c r="K3" s="741" t="s">
        <v>711</v>
      </c>
      <c r="L3" s="741" t="s">
        <v>712</v>
      </c>
      <c r="M3" s="354" t="s">
        <v>713</v>
      </c>
      <c r="N3" s="2004" t="s">
        <v>2483</v>
      </c>
      <c r="O3" s="2009" t="s">
        <v>2484</v>
      </c>
      <c r="P3" s="354" t="s">
        <v>2485</v>
      </c>
    </row>
    <row r="4" spans="1:29" x14ac:dyDescent="0.25">
      <c r="A4" s="244" t="s">
        <v>916</v>
      </c>
      <c r="B4" s="773"/>
      <c r="C4" s="749"/>
      <c r="D4" s="749"/>
      <c r="E4" s="749"/>
      <c r="F4" s="749"/>
      <c r="G4" s="749"/>
      <c r="H4" s="749"/>
      <c r="I4" s="749"/>
      <c r="J4" s="749"/>
      <c r="K4" s="749"/>
      <c r="L4" s="749"/>
      <c r="M4" s="774"/>
      <c r="N4" s="2601">
        <v>1</v>
      </c>
      <c r="O4" s="749"/>
      <c r="P4" s="774"/>
      <c r="U4" s="148">
        <v>49101170.062484264</v>
      </c>
      <c r="V4" s="148">
        <v>52047240.266233325</v>
      </c>
      <c r="W4" s="148">
        <v>55170074.676207334</v>
      </c>
    </row>
    <row r="5" spans="1:29" x14ac:dyDescent="0.25">
      <c r="A5" s="245" t="s">
        <v>543</v>
      </c>
      <c r="B5" s="1066">
        <v>368623.34703732608</v>
      </c>
      <c r="C5" s="1030">
        <v>368623.34703732608</v>
      </c>
      <c r="D5" s="1030">
        <v>1737795.7788902514</v>
      </c>
      <c r="E5" s="1030">
        <v>368623.34703732608</v>
      </c>
      <c r="F5" s="1030">
        <v>368623.34703732608</v>
      </c>
      <c r="G5" s="1030">
        <v>368623.34703732608</v>
      </c>
      <c r="H5" s="1030">
        <v>368623.34703732608</v>
      </c>
      <c r="I5" s="1030">
        <v>368623.34703732608</v>
      </c>
      <c r="J5" s="1030">
        <v>368623.34703732608</v>
      </c>
      <c r="K5" s="1030">
        <v>368623.34703732608</v>
      </c>
      <c r="L5" s="1030">
        <v>368623.34703732608</v>
      </c>
      <c r="M5" s="256">
        <v>368623.34703732468</v>
      </c>
      <c r="N5" s="1066">
        <v>5792652.5963008385</v>
      </c>
      <c r="O5" s="1030">
        <v>6125495.2595222518</v>
      </c>
      <c r="P5" s="1065">
        <v>6449949.7111991113</v>
      </c>
      <c r="U5" s="338">
        <v>6196106.2399299834</v>
      </c>
      <c r="V5" s="338">
        <v>6567872.6143257823</v>
      </c>
      <c r="W5" s="338">
        <v>6961944.9711853284</v>
      </c>
      <c r="X5" s="1992">
        <v>0.12619060262810552</v>
      </c>
      <c r="Y5" s="1992">
        <v>0.12619060262810552</v>
      </c>
      <c r="Z5" s="1992">
        <v>0.1261906026418293</v>
      </c>
      <c r="AA5" s="148">
        <v>-403453.64362914499</v>
      </c>
      <c r="AB5" s="148">
        <v>-442377.35480353015</v>
      </c>
      <c r="AC5" s="148">
        <v>-511995.25998621696</v>
      </c>
    </row>
    <row r="6" spans="1:29" x14ac:dyDescent="0.25">
      <c r="A6" s="245" t="s">
        <v>1617</v>
      </c>
      <c r="B6" s="1066">
        <v>0</v>
      </c>
      <c r="C6" s="1030">
        <v>0</v>
      </c>
      <c r="D6" s="1030">
        <v>0</v>
      </c>
      <c r="E6" s="1030">
        <v>0</v>
      </c>
      <c r="F6" s="1030">
        <v>0</v>
      </c>
      <c r="G6" s="1030">
        <v>0</v>
      </c>
      <c r="H6" s="1030">
        <v>0</v>
      </c>
      <c r="I6" s="1030">
        <v>0</v>
      </c>
      <c r="J6" s="1030">
        <v>0</v>
      </c>
      <c r="K6" s="1030">
        <v>0</v>
      </c>
      <c r="L6" s="1030">
        <v>0</v>
      </c>
      <c r="M6" s="256">
        <v>0</v>
      </c>
      <c r="N6" s="1066">
        <v>0</v>
      </c>
      <c r="O6" s="1030">
        <v>0</v>
      </c>
      <c r="P6" s="1065">
        <v>0</v>
      </c>
      <c r="U6" s="338">
        <v>0</v>
      </c>
      <c r="V6" s="338">
        <v>0</v>
      </c>
      <c r="W6" s="338">
        <v>0</v>
      </c>
      <c r="X6" s="1992">
        <v>0</v>
      </c>
      <c r="Y6" s="1992">
        <v>0</v>
      </c>
      <c r="Z6" s="1992">
        <v>0</v>
      </c>
      <c r="AA6" s="148">
        <v>0</v>
      </c>
      <c r="AB6" s="148">
        <v>0</v>
      </c>
      <c r="AC6" s="148">
        <v>0</v>
      </c>
    </row>
    <row r="7" spans="1:29" x14ac:dyDescent="0.25">
      <c r="A7" s="245" t="s">
        <v>1809</v>
      </c>
      <c r="B7" s="1066">
        <v>983610.11261507543</v>
      </c>
      <c r="C7" s="1030">
        <v>105569.93357600927</v>
      </c>
      <c r="D7" s="1030">
        <v>1589292.0802754071</v>
      </c>
      <c r="E7" s="1030">
        <v>1089292.0802754066</v>
      </c>
      <c r="F7" s="1030">
        <v>945054.88907895563</v>
      </c>
      <c r="G7" s="1030">
        <v>18753.802371518952</v>
      </c>
      <c r="H7" s="1030">
        <v>1233151.7399271582</v>
      </c>
      <c r="I7" s="1030">
        <v>526936.54570900253</v>
      </c>
      <c r="J7" s="1030">
        <v>1014155.2504008223</v>
      </c>
      <c r="K7" s="1030">
        <v>1187666.4623237683</v>
      </c>
      <c r="L7" s="1030">
        <v>242160.52806343802</v>
      </c>
      <c r="M7" s="256">
        <v>579442.37413806841</v>
      </c>
      <c r="N7" s="1066">
        <v>9515085.7987546306</v>
      </c>
      <c r="O7" s="1030">
        <v>10061817.446369784</v>
      </c>
      <c r="P7" s="1065">
        <v>10594770.5059056</v>
      </c>
      <c r="U7" s="338">
        <v>10177803.952679999</v>
      </c>
      <c r="V7" s="338">
        <v>10788472.189840801</v>
      </c>
      <c r="W7" s="338">
        <v>11435780.51723125</v>
      </c>
      <c r="X7" s="1992">
        <v>0.20728230996793184</v>
      </c>
      <c r="Y7" s="1992">
        <v>0.20728230996793187</v>
      </c>
      <c r="Z7" s="1992">
        <v>0.2072823099179717</v>
      </c>
      <c r="AA7" s="148">
        <v>-662718.15392536926</v>
      </c>
      <c r="AB7" s="148">
        <v>-726654.74347101734</v>
      </c>
      <c r="AC7" s="148">
        <v>-841010.0113256505</v>
      </c>
    </row>
    <row r="8" spans="1:29" x14ac:dyDescent="0.25">
      <c r="A8" s="245" t="s">
        <v>1810</v>
      </c>
      <c r="B8" s="1066">
        <v>235505.51945031044</v>
      </c>
      <c r="C8" s="1030">
        <v>2916.6666666666665</v>
      </c>
      <c r="D8" s="1030">
        <v>220205.28610800079</v>
      </c>
      <c r="E8" s="1030">
        <v>220205.28610800067</v>
      </c>
      <c r="F8" s="1030">
        <v>226959.14165495185</v>
      </c>
      <c r="G8" s="1030">
        <v>302916.66666666669</v>
      </c>
      <c r="H8" s="1030">
        <v>265234.28780231602</v>
      </c>
      <c r="I8" s="1030">
        <v>244326.09980305465</v>
      </c>
      <c r="J8" s="1030">
        <v>486161.4293205975</v>
      </c>
      <c r="K8" s="1030">
        <v>410222.86039989308</v>
      </c>
      <c r="L8" s="1030">
        <v>358384.878009771</v>
      </c>
      <c r="M8" s="256">
        <v>234950.98927798262</v>
      </c>
      <c r="N8" s="1066">
        <v>3207989.1112682121</v>
      </c>
      <c r="O8" s="1030">
        <v>3392318.4183738502</v>
      </c>
      <c r="P8" s="1065">
        <v>3572002.3077109293</v>
      </c>
      <c r="U8" s="338">
        <v>3431423</v>
      </c>
      <c r="V8" s="338">
        <v>3637308.38</v>
      </c>
      <c r="W8" s="338">
        <v>3855546.8827999998</v>
      </c>
      <c r="X8" s="1992">
        <v>6.9884750111520816E-2</v>
      </c>
      <c r="Y8" s="1992">
        <v>6.9884750111520816E-2</v>
      </c>
      <c r="Z8" s="1992">
        <v>6.9884750119121083E-2</v>
      </c>
      <c r="AA8" s="148">
        <v>-223433.88873178774</v>
      </c>
      <c r="AB8" s="148">
        <v>-244989.96162614977</v>
      </c>
      <c r="AC8" s="148">
        <v>-283544.57508907036</v>
      </c>
    </row>
    <row r="9" spans="1:29" x14ac:dyDescent="0.25">
      <c r="A9" s="245" t="s">
        <v>936</v>
      </c>
      <c r="B9" s="1066">
        <v>613458.83916393702</v>
      </c>
      <c r="C9" s="1030">
        <v>13.012270274069984</v>
      </c>
      <c r="D9" s="1030">
        <v>423658.95811340096</v>
      </c>
      <c r="E9" s="1030">
        <v>423658.95811340108</v>
      </c>
      <c r="F9" s="1030">
        <v>309130.57483281777</v>
      </c>
      <c r="G9" s="1030">
        <v>100052.04908109628</v>
      </c>
      <c r="H9" s="1030">
        <v>215207.95778823388</v>
      </c>
      <c r="I9" s="1030">
        <v>600471.30487645359</v>
      </c>
      <c r="J9" s="1030">
        <v>657451.83820478315</v>
      </c>
      <c r="K9" s="1030">
        <v>608706.70687769132</v>
      </c>
      <c r="L9" s="1030">
        <v>182477.61241895531</v>
      </c>
      <c r="M9" s="256">
        <v>88372.670180895831</v>
      </c>
      <c r="N9" s="1066">
        <v>4222660.4819219401</v>
      </c>
      <c r="O9" s="1030">
        <v>4465292.2533456665</v>
      </c>
      <c r="P9" s="1065">
        <v>4701809.2820763653</v>
      </c>
      <c r="U9" s="338">
        <v>4516765.4241599999</v>
      </c>
      <c r="V9" s="338">
        <v>4787771.3496096004</v>
      </c>
      <c r="W9" s="338">
        <v>5075037.6285861796</v>
      </c>
      <c r="X9" s="1992">
        <v>9.1988957053612722E-2</v>
      </c>
      <c r="Y9" s="1992">
        <v>9.1988957053612722E-2</v>
      </c>
      <c r="Z9" s="1992">
        <v>9.1988957027365453E-2</v>
      </c>
      <c r="AA9" s="148">
        <v>-294104.94223806023</v>
      </c>
      <c r="AB9" s="148">
        <v>-322479.09626393439</v>
      </c>
      <c r="AC9" s="148">
        <v>-373228.34650981403</v>
      </c>
    </row>
    <row r="10" spans="1:29" x14ac:dyDescent="0.25">
      <c r="A10" s="245" t="s">
        <v>1047</v>
      </c>
      <c r="B10" s="1066">
        <v>290868.37869132438</v>
      </c>
      <c r="C10" s="1030">
        <v>50000</v>
      </c>
      <c r="D10" s="1030">
        <v>245026.53807193559</v>
      </c>
      <c r="E10" s="1030">
        <v>245026.53807193576</v>
      </c>
      <c r="F10" s="1030">
        <v>296301.15579151246</v>
      </c>
      <c r="G10" s="1030">
        <v>50000</v>
      </c>
      <c r="H10" s="1030">
        <v>561257.81263800047</v>
      </c>
      <c r="I10" s="1030">
        <v>222781.66971640583</v>
      </c>
      <c r="J10" s="1030">
        <v>623957.10178319656</v>
      </c>
      <c r="K10" s="1030">
        <v>283684.01168111473</v>
      </c>
      <c r="L10" s="1030">
        <v>49731.696777287092</v>
      </c>
      <c r="M10" s="256">
        <v>136915.07252574712</v>
      </c>
      <c r="N10" s="1066">
        <v>3055549.9757484603</v>
      </c>
      <c r="O10" s="1030">
        <v>3231120.213152945</v>
      </c>
      <c r="P10" s="1065">
        <v>3402265.7765146773</v>
      </c>
      <c r="U10" s="338">
        <v>3268366.6</v>
      </c>
      <c r="V10" s="338">
        <v>3464468.5959999999</v>
      </c>
      <c r="W10" s="338">
        <v>3672336.7117599999</v>
      </c>
      <c r="X10" s="1992">
        <v>6.6563924970439656E-2</v>
      </c>
      <c r="Y10" s="1992">
        <v>6.6563924970439642E-2</v>
      </c>
      <c r="Z10" s="1992">
        <v>6.6563924977678768E-2</v>
      </c>
      <c r="AA10" s="148">
        <v>-212816.62425153982</v>
      </c>
      <c r="AB10" s="148">
        <v>-233348.38284705486</v>
      </c>
      <c r="AC10" s="148">
        <v>-270070.93524532235</v>
      </c>
    </row>
    <row r="11" spans="1:29" x14ac:dyDescent="0.25">
      <c r="A11" s="245" t="s">
        <v>938</v>
      </c>
      <c r="B11" s="1066">
        <v>0</v>
      </c>
      <c r="C11" s="1030">
        <v>0</v>
      </c>
      <c r="D11" s="1030">
        <v>0</v>
      </c>
      <c r="E11" s="1030">
        <v>0</v>
      </c>
      <c r="F11" s="1030">
        <v>0</v>
      </c>
      <c r="G11" s="1030">
        <v>0</v>
      </c>
      <c r="H11" s="1030">
        <v>0</v>
      </c>
      <c r="I11" s="1030">
        <v>0</v>
      </c>
      <c r="J11" s="1030">
        <v>0</v>
      </c>
      <c r="K11" s="1030">
        <v>0</v>
      </c>
      <c r="L11" s="1030">
        <v>0</v>
      </c>
      <c r="M11" s="256">
        <v>0</v>
      </c>
      <c r="N11" s="1066">
        <v>0</v>
      </c>
      <c r="O11" s="1030">
        <v>0</v>
      </c>
      <c r="P11" s="1065">
        <v>0</v>
      </c>
      <c r="U11" s="338">
        <v>0</v>
      </c>
      <c r="V11" s="338">
        <v>0</v>
      </c>
      <c r="W11" s="338">
        <v>0</v>
      </c>
      <c r="X11" s="1992">
        <v>0</v>
      </c>
      <c r="Y11" s="1992">
        <v>0</v>
      </c>
      <c r="Z11" s="1992">
        <v>0</v>
      </c>
      <c r="AA11" s="148">
        <v>0</v>
      </c>
      <c r="AB11" s="148">
        <v>0</v>
      </c>
      <c r="AC11" s="148">
        <v>0</v>
      </c>
    </row>
    <row r="12" spans="1:29" x14ac:dyDescent="0.25">
      <c r="A12" s="245" t="s">
        <v>1619</v>
      </c>
      <c r="B12" s="1066">
        <v>72853.343537692621</v>
      </c>
      <c r="C12" s="1030">
        <v>18277.679142088207</v>
      </c>
      <c r="D12" s="1030">
        <v>49541.907164066215</v>
      </c>
      <c r="E12" s="1030">
        <v>49541.907164066215</v>
      </c>
      <c r="F12" s="1030">
        <v>50739.668153077189</v>
      </c>
      <c r="G12" s="1030">
        <v>16062.56305209436</v>
      </c>
      <c r="H12" s="1030">
        <v>51063.942404555011</v>
      </c>
      <c r="I12" s="1030">
        <v>54189.346898248215</v>
      </c>
      <c r="J12" s="1030">
        <v>73151.108974358984</v>
      </c>
      <c r="K12" s="1030">
        <v>45659.030339889214</v>
      </c>
      <c r="L12" s="1030">
        <v>50062.174442074705</v>
      </c>
      <c r="M12" s="256">
        <v>49613.003827733919</v>
      </c>
      <c r="N12" s="1066">
        <v>580755.67509994493</v>
      </c>
      <c r="O12" s="1030">
        <v>614125.57988323143</v>
      </c>
      <c r="P12" s="1065">
        <v>646654.5052745291</v>
      </c>
      <c r="U12" s="338">
        <v>621204.84571428574</v>
      </c>
      <c r="V12" s="338">
        <v>658477.13645714289</v>
      </c>
      <c r="W12" s="338">
        <v>697985.76464457146</v>
      </c>
      <c r="X12" s="1992">
        <v>1.2651528363250087E-2</v>
      </c>
      <c r="Y12" s="1992">
        <v>1.2651528363250087E-2</v>
      </c>
      <c r="Z12" s="1992">
        <v>1.2651528364625996E-2</v>
      </c>
      <c r="AA12" s="148">
        <v>-40449.170614340779</v>
      </c>
      <c r="AB12" s="148">
        <v>-44351.556573911505</v>
      </c>
      <c r="AC12" s="148">
        <v>-51331.259370042302</v>
      </c>
    </row>
    <row r="13" spans="1:29" x14ac:dyDescent="0.25">
      <c r="A13" s="245" t="s">
        <v>473</v>
      </c>
      <c r="B13" s="1066">
        <v>132268.28333333333</v>
      </c>
      <c r="C13" s="1030">
        <v>38298.22500000002</v>
      </c>
      <c r="D13" s="1030">
        <v>25671.484166666658</v>
      </c>
      <c r="E13" s="1030">
        <v>25671.484166666662</v>
      </c>
      <c r="F13" s="1030">
        <v>16739.188333333324</v>
      </c>
      <c r="G13" s="1030">
        <v>467.76000000000022</v>
      </c>
      <c r="H13" s="1030">
        <v>31617.04333333332</v>
      </c>
      <c r="I13" s="1030">
        <v>20849.296666666676</v>
      </c>
      <c r="J13" s="1030">
        <v>14268.694999999991</v>
      </c>
      <c r="K13" s="1030">
        <v>35245.36500000002</v>
      </c>
      <c r="L13" s="1030">
        <v>19451.587500000001</v>
      </c>
      <c r="M13" s="256">
        <v>19451.587499999907</v>
      </c>
      <c r="N13" s="1066">
        <v>380000</v>
      </c>
      <c r="O13" s="1030">
        <v>402800</v>
      </c>
      <c r="P13" s="1065">
        <v>426968</v>
      </c>
      <c r="U13" s="338"/>
      <c r="V13" s="338"/>
      <c r="W13" s="338"/>
      <c r="X13" s="1992">
        <v>0</v>
      </c>
      <c r="Y13" s="1992">
        <v>0</v>
      </c>
      <c r="Z13" s="1992">
        <v>0</v>
      </c>
      <c r="AA13" s="148">
        <v>0</v>
      </c>
      <c r="AB13" s="148">
        <v>0</v>
      </c>
      <c r="AC13" s="148">
        <v>0</v>
      </c>
    </row>
    <row r="14" spans="1:29" x14ac:dyDescent="0.25">
      <c r="A14" s="245" t="s">
        <v>474</v>
      </c>
      <c r="B14" s="1066">
        <v>123058.35</v>
      </c>
      <c r="C14" s="1030">
        <v>0</v>
      </c>
      <c r="D14" s="1030">
        <v>197095.94499999998</v>
      </c>
      <c r="E14" s="1030">
        <v>197095.94500000001</v>
      </c>
      <c r="F14" s="1030">
        <v>134039.40000000002</v>
      </c>
      <c r="G14" s="1030">
        <v>0</v>
      </c>
      <c r="H14" s="1030">
        <v>272320.59999999998</v>
      </c>
      <c r="I14" s="1030">
        <v>152904.39999999991</v>
      </c>
      <c r="J14" s="1030">
        <v>134264.80000000005</v>
      </c>
      <c r="K14" s="1030">
        <v>139866</v>
      </c>
      <c r="L14" s="1030">
        <v>224677.28000000003</v>
      </c>
      <c r="M14" s="256">
        <v>107471.96904963977</v>
      </c>
      <c r="N14" s="1066">
        <v>1682794.6890496397</v>
      </c>
      <c r="O14" s="1030">
        <v>1779487.155350107</v>
      </c>
      <c r="P14" s="1065">
        <v>1873742.8040435917</v>
      </c>
      <c r="U14" s="338">
        <v>1800000</v>
      </c>
      <c r="V14" s="338">
        <v>1908000</v>
      </c>
      <c r="W14" s="338">
        <v>2022480</v>
      </c>
      <c r="X14" s="1992">
        <v>3.6659004209255892E-2</v>
      </c>
      <c r="Y14" s="1992">
        <v>3.6659004209255885E-2</v>
      </c>
      <c r="Z14" s="1992">
        <v>3.6659004213242717E-2</v>
      </c>
      <c r="AA14" s="148">
        <v>-117205.31095036023</v>
      </c>
      <c r="AB14" s="148">
        <v>-128512.84464989293</v>
      </c>
      <c r="AC14" s="148">
        <v>-148737.19595640837</v>
      </c>
    </row>
    <row r="15" spans="1:29" x14ac:dyDescent="0.25">
      <c r="A15" s="245" t="s">
        <v>1538</v>
      </c>
      <c r="B15" s="1066">
        <v>0</v>
      </c>
      <c r="C15" s="1030">
        <v>0</v>
      </c>
      <c r="D15" s="1030">
        <v>0</v>
      </c>
      <c r="E15" s="1030">
        <v>0</v>
      </c>
      <c r="F15" s="1030">
        <v>0</v>
      </c>
      <c r="G15" s="1030">
        <v>0</v>
      </c>
      <c r="H15" s="1030">
        <v>0</v>
      </c>
      <c r="I15" s="1030">
        <v>0</v>
      </c>
      <c r="J15" s="1030">
        <v>0</v>
      </c>
      <c r="K15" s="1030">
        <v>0</v>
      </c>
      <c r="L15" s="1030">
        <v>0</v>
      </c>
      <c r="M15" s="256">
        <v>0</v>
      </c>
      <c r="N15" s="1066">
        <v>0</v>
      </c>
      <c r="O15" s="1030">
        <v>0</v>
      </c>
      <c r="P15" s="1065">
        <v>0</v>
      </c>
      <c r="U15" s="338">
        <v>0</v>
      </c>
      <c r="V15" s="338">
        <v>0</v>
      </c>
      <c r="W15" s="338">
        <v>0</v>
      </c>
      <c r="X15" s="1992">
        <v>0</v>
      </c>
      <c r="Y15" s="1992">
        <v>0</v>
      </c>
      <c r="Z15" s="1992">
        <v>0</v>
      </c>
      <c r="AA15" s="148">
        <v>0</v>
      </c>
      <c r="AB15" s="148">
        <v>0</v>
      </c>
      <c r="AC15" s="148">
        <v>0</v>
      </c>
    </row>
    <row r="16" spans="1:29" x14ac:dyDescent="0.25">
      <c r="A16" s="245" t="s">
        <v>475</v>
      </c>
      <c r="B16" s="1066">
        <v>546982.69145833328</v>
      </c>
      <c r="C16" s="1030">
        <v>494540.84270833345</v>
      </c>
      <c r="D16" s="1030">
        <v>957728.11791666644</v>
      </c>
      <c r="E16" s="1030">
        <v>957728.11791666644</v>
      </c>
      <c r="F16" s="1030">
        <v>588249.7506250001</v>
      </c>
      <c r="G16" s="1030">
        <v>528278.34750000027</v>
      </c>
      <c r="H16" s="1030">
        <v>275753.82312500023</v>
      </c>
      <c r="I16" s="1030">
        <v>859953.5356249992</v>
      </c>
      <c r="J16" s="1030">
        <v>1495489.1208333338</v>
      </c>
      <c r="K16" s="1030">
        <v>580512.27520833362</v>
      </c>
      <c r="L16" s="1030">
        <v>5902141.6885416675</v>
      </c>
      <c r="M16" s="256">
        <v>4659146.8088822775</v>
      </c>
      <c r="N16" s="1066">
        <v>17846505.120340612</v>
      </c>
      <c r="O16" s="1030">
        <v>18871955.584475484</v>
      </c>
      <c r="P16" s="1065">
        <v>19871562.920994524</v>
      </c>
      <c r="U16" s="338">
        <v>19089500</v>
      </c>
      <c r="V16" s="338">
        <v>20234870</v>
      </c>
      <c r="W16" s="338">
        <v>21448962.199999999</v>
      </c>
      <c r="X16" s="1992">
        <v>0.38877892269588354</v>
      </c>
      <c r="Y16" s="1992">
        <v>0.38877892269588349</v>
      </c>
      <c r="Z16" s="1992">
        <v>0.38877892273816489</v>
      </c>
      <c r="AA16" s="148">
        <v>-1242994.8796593898</v>
      </c>
      <c r="AB16" s="148">
        <v>-1362914.4155245174</v>
      </c>
      <c r="AC16" s="148">
        <v>-1577399.2790054763</v>
      </c>
    </row>
    <row r="17" spans="1:23" x14ac:dyDescent="0.25">
      <c r="A17" s="245" t="s">
        <v>476</v>
      </c>
      <c r="B17" s="1066">
        <v>40024.242171717175</v>
      </c>
      <c r="C17" s="1030">
        <v>32117.022121212125</v>
      </c>
      <c r="D17" s="1030">
        <v>30600.037424242426</v>
      </c>
      <c r="E17" s="1030">
        <v>30600.037424242422</v>
      </c>
      <c r="F17" s="1030">
        <v>63497.387659932661</v>
      </c>
      <c r="G17" s="1030">
        <v>23658.969309764299</v>
      </c>
      <c r="H17" s="1030">
        <v>49534.315622895636</v>
      </c>
      <c r="I17" s="1030">
        <v>51991.924208754201</v>
      </c>
      <c r="J17" s="1030">
        <v>33266.714410774417</v>
      </c>
      <c r="K17" s="1030">
        <v>49056.37515151516</v>
      </c>
      <c r="L17" s="1030">
        <v>7326.4872474747435</v>
      </c>
      <c r="M17" s="256">
        <v>7326.4872474747244</v>
      </c>
      <c r="N17" s="1066">
        <v>419000</v>
      </c>
      <c r="O17" s="1030">
        <v>444140</v>
      </c>
      <c r="P17" s="1065">
        <v>470788.4</v>
      </c>
      <c r="U17" s="338"/>
      <c r="V17" s="338"/>
    </row>
    <row r="18" spans="1:23" x14ac:dyDescent="0.25">
      <c r="A18" s="245" t="s">
        <v>1514</v>
      </c>
      <c r="B18" s="1066">
        <v>822.45</v>
      </c>
      <c r="C18" s="1030">
        <v>935.8499999999998</v>
      </c>
      <c r="D18" s="1030">
        <v>894.72</v>
      </c>
      <c r="E18" s="1030">
        <v>894.7199999999998</v>
      </c>
      <c r="F18" s="1030">
        <v>556.05000000000018</v>
      </c>
      <c r="G18" s="1030">
        <v>823.60000000000036</v>
      </c>
      <c r="H18" s="1030">
        <v>809</v>
      </c>
      <c r="I18" s="1030">
        <v>1188.5499999999993</v>
      </c>
      <c r="J18" s="1030">
        <v>224.45000000000073</v>
      </c>
      <c r="K18" s="1030">
        <v>1777.8399999999992</v>
      </c>
      <c r="L18" s="1030">
        <v>1536.3850000000002</v>
      </c>
      <c r="M18" s="256">
        <v>1536.3850000000002</v>
      </c>
      <c r="N18" s="1066">
        <v>12000</v>
      </c>
      <c r="O18" s="1030">
        <v>12720</v>
      </c>
      <c r="P18" s="1065">
        <v>13483.2</v>
      </c>
      <c r="U18" s="338"/>
      <c r="V18" s="338"/>
    </row>
    <row r="19" spans="1:23" x14ac:dyDescent="0.25">
      <c r="A19" s="189" t="s">
        <v>570</v>
      </c>
      <c r="B19" s="1066">
        <v>7204576.7676718701</v>
      </c>
      <c r="C19" s="1030">
        <v>0</v>
      </c>
      <c r="D19" s="1030">
        <v>7080.4612500000012</v>
      </c>
      <c r="E19" s="1030">
        <v>7080.4612499999985</v>
      </c>
      <c r="F19" s="1030">
        <v>0</v>
      </c>
      <c r="G19" s="1030">
        <v>5285171.5709066754</v>
      </c>
      <c r="H19" s="1030">
        <v>0</v>
      </c>
      <c r="I19" s="1030">
        <v>0</v>
      </c>
      <c r="J19" s="1030">
        <v>4388316.7148480564</v>
      </c>
      <c r="K19" s="1030">
        <v>0</v>
      </c>
      <c r="L19" s="1030">
        <v>1946387.0120366986</v>
      </c>
      <c r="M19" s="256">
        <v>1946387.0120366998</v>
      </c>
      <c r="N19" s="1066">
        <v>20785000</v>
      </c>
      <c r="O19" s="1030">
        <v>22636800</v>
      </c>
      <c r="P19" s="1065">
        <v>24289408</v>
      </c>
      <c r="U19" s="338"/>
      <c r="V19" s="338"/>
    </row>
    <row r="20" spans="1:23" x14ac:dyDescent="0.25">
      <c r="A20" s="245" t="s">
        <v>1566</v>
      </c>
      <c r="B20" s="1066">
        <v>10630.849696011588</v>
      </c>
      <c r="C20" s="1030">
        <v>11814.559278324015</v>
      </c>
      <c r="D20" s="1030">
        <v>20243.085940836943</v>
      </c>
      <c r="E20" s="1030">
        <v>20243.085940836943</v>
      </c>
      <c r="F20" s="1030">
        <v>11577.370486427026</v>
      </c>
      <c r="G20" s="1030">
        <v>6390.5127324722062</v>
      </c>
      <c r="H20" s="1030">
        <v>10875.181327327058</v>
      </c>
      <c r="I20" s="1030">
        <v>2091.3043222333217</v>
      </c>
      <c r="J20" s="1030">
        <v>15823.803320062978</v>
      </c>
      <c r="K20" s="1030">
        <v>27025.701026990551</v>
      </c>
      <c r="L20" s="1030">
        <v>69017.272964238684</v>
      </c>
      <c r="M20" s="256">
        <v>69017.272964238684</v>
      </c>
      <c r="N20" s="1066">
        <v>274750</v>
      </c>
      <c r="O20" s="1030">
        <v>291235</v>
      </c>
      <c r="P20" s="1065">
        <v>308709.10000000009</v>
      </c>
      <c r="U20" s="338"/>
      <c r="V20" s="338"/>
    </row>
    <row r="21" spans="1:23" x14ac:dyDescent="0.25">
      <c r="A21" s="566" t="s">
        <v>1620</v>
      </c>
      <c r="B21" s="261">
        <v>10623283.174826933</v>
      </c>
      <c r="C21" s="259">
        <v>1123107.1378002339</v>
      </c>
      <c r="D21" s="259">
        <v>5504834.4003214743</v>
      </c>
      <c r="E21" s="259">
        <v>3635661.9684685492</v>
      </c>
      <c r="F21" s="259">
        <v>3011467.9236533344</v>
      </c>
      <c r="G21" s="259">
        <v>6701199.1886576144</v>
      </c>
      <c r="H21" s="259">
        <v>3335449.0510061462</v>
      </c>
      <c r="I21" s="259">
        <v>3106307.3248631442</v>
      </c>
      <c r="J21" s="259">
        <v>9305154.3741333131</v>
      </c>
      <c r="K21" s="259">
        <v>3738045.975046522</v>
      </c>
      <c r="L21" s="259">
        <v>9421977.9500389323</v>
      </c>
      <c r="M21" s="260">
        <v>8268254.9796680827</v>
      </c>
      <c r="N21" s="261">
        <v>67774743.448484272</v>
      </c>
      <c r="O21" s="259">
        <v>72329306.910473317</v>
      </c>
      <c r="P21" s="260">
        <v>76622114.51371932</v>
      </c>
      <c r="U21" s="338">
        <v>-3197176.6139999926</v>
      </c>
      <c r="V21" s="338">
        <v>-3505628.3557600081</v>
      </c>
      <c r="W21" s="338">
        <v>-4057316.8624880016</v>
      </c>
    </row>
    <row r="22" spans="1:23" ht="5.0999999999999996" customHeight="1" x14ac:dyDescent="0.25">
      <c r="A22" s="658"/>
      <c r="B22" s="246"/>
      <c r="C22" s="205"/>
      <c r="D22" s="205"/>
      <c r="E22" s="205"/>
      <c r="F22" s="205"/>
      <c r="G22" s="205"/>
      <c r="H22" s="205"/>
      <c r="I22" s="205"/>
      <c r="J22" s="205"/>
      <c r="K22" s="205"/>
      <c r="L22" s="205"/>
      <c r="M22" s="256"/>
      <c r="N22" s="246"/>
      <c r="O22" s="205"/>
      <c r="P22" s="256"/>
      <c r="U22" s="338"/>
      <c r="V22" s="338"/>
      <c r="W22" s="338"/>
    </row>
    <row r="23" spans="1:23" ht="11.25" customHeight="1" x14ac:dyDescent="0.25">
      <c r="A23" s="340" t="s">
        <v>933</v>
      </c>
      <c r="B23" s="246"/>
      <c r="C23" s="205"/>
      <c r="D23" s="205"/>
      <c r="E23" s="205"/>
      <c r="F23" s="205"/>
      <c r="G23" s="205"/>
      <c r="H23" s="205"/>
      <c r="I23" s="205"/>
      <c r="J23" s="205"/>
      <c r="K23" s="205"/>
      <c r="L23" s="205"/>
      <c r="M23" s="256"/>
      <c r="N23" s="246"/>
      <c r="O23" s="205"/>
      <c r="P23" s="256"/>
      <c r="U23" s="338">
        <v>67774743.448484272</v>
      </c>
      <c r="V23" s="338">
        <v>72329306.910473317</v>
      </c>
      <c r="W23" s="338">
        <v>76622114.51371932</v>
      </c>
    </row>
    <row r="24" spans="1:23" ht="11.25" customHeight="1" x14ac:dyDescent="0.25">
      <c r="A24" s="302" t="s">
        <v>569</v>
      </c>
      <c r="B24" s="1066">
        <v>0</v>
      </c>
      <c r="C24" s="1030">
        <v>0</v>
      </c>
      <c r="D24" s="1030">
        <v>0</v>
      </c>
      <c r="E24" s="1030">
        <v>0</v>
      </c>
      <c r="F24" s="1030">
        <v>0</v>
      </c>
      <c r="G24" s="1030">
        <v>0</v>
      </c>
      <c r="H24" s="1030">
        <v>0</v>
      </c>
      <c r="I24" s="1030">
        <v>0</v>
      </c>
      <c r="J24" s="1030">
        <v>0</v>
      </c>
      <c r="K24" s="1030">
        <v>0</v>
      </c>
      <c r="L24" s="1030">
        <v>5755000</v>
      </c>
      <c r="M24" s="256">
        <v>5755000</v>
      </c>
      <c r="N24" s="1066">
        <v>11510000</v>
      </c>
      <c r="O24" s="1030">
        <v>12141000</v>
      </c>
      <c r="P24" s="1065">
        <v>12843000</v>
      </c>
      <c r="U24" s="1916">
        <v>0</v>
      </c>
      <c r="V24" s="1916">
        <v>0</v>
      </c>
      <c r="W24" s="1916">
        <v>0</v>
      </c>
    </row>
    <row r="25" spans="1:23" ht="11.25" customHeight="1" x14ac:dyDescent="0.25">
      <c r="A25" s="249" t="s">
        <v>2555</v>
      </c>
      <c r="B25" s="1066">
        <v>0</v>
      </c>
      <c r="C25" s="1030">
        <v>0</v>
      </c>
      <c r="D25" s="1030">
        <v>0</v>
      </c>
      <c r="E25" s="1030">
        <v>0</v>
      </c>
      <c r="F25" s="1030">
        <v>0</v>
      </c>
      <c r="G25" s="1030">
        <v>0</v>
      </c>
      <c r="H25" s="1030">
        <v>0</v>
      </c>
      <c r="I25" s="1030">
        <v>0</v>
      </c>
      <c r="J25" s="1030">
        <v>0</v>
      </c>
      <c r="K25" s="1030">
        <v>0</v>
      </c>
      <c r="L25" s="1030">
        <v>0</v>
      </c>
      <c r="M25" s="256">
        <v>0</v>
      </c>
      <c r="N25" s="1066">
        <v>0</v>
      </c>
      <c r="O25" s="1030">
        <v>0</v>
      </c>
      <c r="P25" s="1065">
        <v>0</v>
      </c>
      <c r="U25" s="338"/>
      <c r="V25" s="338"/>
      <c r="W25" s="338"/>
    </row>
    <row r="26" spans="1:23" ht="11.25" customHeight="1" x14ac:dyDescent="0.25">
      <c r="A26" s="249" t="s">
        <v>1539</v>
      </c>
      <c r="B26" s="1066">
        <v>0</v>
      </c>
      <c r="C26" s="1030">
        <v>0</v>
      </c>
      <c r="D26" s="1030">
        <v>0</v>
      </c>
      <c r="E26" s="1030">
        <v>0</v>
      </c>
      <c r="F26" s="1030">
        <v>0</v>
      </c>
      <c r="G26" s="1030">
        <v>0</v>
      </c>
      <c r="H26" s="1030">
        <v>0</v>
      </c>
      <c r="I26" s="1030">
        <v>0</v>
      </c>
      <c r="J26" s="1030">
        <v>0</v>
      </c>
      <c r="K26" s="1030">
        <v>0</v>
      </c>
      <c r="L26" s="1030">
        <v>0</v>
      </c>
      <c r="M26" s="256">
        <v>225000</v>
      </c>
      <c r="N26" s="1066">
        <v>225000</v>
      </c>
      <c r="O26" s="1030">
        <v>238500</v>
      </c>
      <c r="P26" s="1065">
        <v>252810</v>
      </c>
      <c r="U26" s="338"/>
      <c r="V26" s="338"/>
      <c r="W26" s="338"/>
    </row>
    <row r="27" spans="1:23" ht="11.25" customHeight="1" x14ac:dyDescent="0.25">
      <c r="A27" s="249" t="s">
        <v>835</v>
      </c>
      <c r="B27" s="1066">
        <v>0</v>
      </c>
      <c r="C27" s="1030">
        <v>0</v>
      </c>
      <c r="D27" s="1030">
        <v>0</v>
      </c>
      <c r="E27" s="1030">
        <v>0</v>
      </c>
      <c r="F27" s="1030">
        <v>0</v>
      </c>
      <c r="G27" s="1030">
        <v>0</v>
      </c>
      <c r="H27" s="1030">
        <v>0</v>
      </c>
      <c r="I27" s="1030">
        <v>0</v>
      </c>
      <c r="J27" s="1030">
        <v>0</v>
      </c>
      <c r="K27" s="1030">
        <v>0</v>
      </c>
      <c r="L27" s="1030">
        <v>0</v>
      </c>
      <c r="M27" s="256">
        <v>0</v>
      </c>
      <c r="N27" s="1066">
        <v>0</v>
      </c>
      <c r="O27" s="1030">
        <v>0</v>
      </c>
      <c r="P27" s="1065">
        <v>0</v>
      </c>
      <c r="U27" s="338"/>
      <c r="V27" s="338"/>
      <c r="W27" s="338"/>
    </row>
    <row r="28" spans="1:23" ht="11.25" customHeight="1" x14ac:dyDescent="0.25">
      <c r="A28" s="249" t="s">
        <v>799</v>
      </c>
      <c r="B28" s="1066">
        <v>0</v>
      </c>
      <c r="C28" s="1030">
        <v>0</v>
      </c>
      <c r="D28" s="1030">
        <v>0</v>
      </c>
      <c r="E28" s="1030">
        <v>0</v>
      </c>
      <c r="F28" s="1030">
        <v>0</v>
      </c>
      <c r="G28" s="1030">
        <v>0</v>
      </c>
      <c r="H28" s="1030">
        <v>0</v>
      </c>
      <c r="I28" s="1030">
        <v>0</v>
      </c>
      <c r="J28" s="1030">
        <v>0</v>
      </c>
      <c r="K28" s="1030">
        <v>0</v>
      </c>
      <c r="L28" s="1030">
        <v>0</v>
      </c>
      <c r="M28" s="256">
        <v>0</v>
      </c>
      <c r="N28" s="1066">
        <v>0</v>
      </c>
      <c r="O28" s="1030">
        <v>0</v>
      </c>
      <c r="P28" s="1065">
        <v>0</v>
      </c>
      <c r="U28" s="338"/>
      <c r="V28" s="338"/>
      <c r="W28" s="338"/>
    </row>
    <row r="29" spans="1:23" ht="11.25" customHeight="1" x14ac:dyDescent="0.25">
      <c r="A29" s="249" t="s">
        <v>387</v>
      </c>
      <c r="B29" s="1066">
        <v>970.047516666668</v>
      </c>
      <c r="C29" s="1030">
        <v>970.047516666668</v>
      </c>
      <c r="D29" s="1030">
        <v>970.047516666668</v>
      </c>
      <c r="E29" s="1030">
        <v>970.047516666668</v>
      </c>
      <c r="F29" s="1030">
        <v>970.047516666668</v>
      </c>
      <c r="G29" s="1030">
        <v>970.047516666668</v>
      </c>
      <c r="H29" s="1030">
        <v>970.047516666668</v>
      </c>
      <c r="I29" s="1030">
        <v>970.047516666668</v>
      </c>
      <c r="J29" s="1030">
        <v>970.047516666668</v>
      </c>
      <c r="K29" s="1030">
        <v>970.047516666668</v>
      </c>
      <c r="L29" s="1030">
        <v>970.047516666668</v>
      </c>
      <c r="M29" s="256">
        <v>970.04751666666925</v>
      </c>
      <c r="N29" s="1066">
        <v>11640.570200000016</v>
      </c>
      <c r="O29" s="1030">
        <v>12455.410114000028</v>
      </c>
      <c r="P29" s="1065">
        <v>13327.288821980008</v>
      </c>
      <c r="U29" s="338"/>
      <c r="V29" s="338"/>
      <c r="W29" s="338"/>
    </row>
    <row r="30" spans="1:23" ht="11.25" customHeight="1" x14ac:dyDescent="0.25">
      <c r="A30" s="249" t="s">
        <v>1247</v>
      </c>
      <c r="B30" s="1066">
        <v>0</v>
      </c>
      <c r="C30" s="1030">
        <v>0</v>
      </c>
      <c r="D30" s="1030">
        <v>0</v>
      </c>
      <c r="E30" s="1030">
        <v>0</v>
      </c>
      <c r="F30" s="1030">
        <v>0</v>
      </c>
      <c r="G30" s="1030">
        <v>0</v>
      </c>
      <c r="H30" s="1030">
        <v>0</v>
      </c>
      <c r="I30" s="1030">
        <v>0</v>
      </c>
      <c r="J30" s="1030">
        <v>0</v>
      </c>
      <c r="K30" s="1030">
        <v>0</v>
      </c>
      <c r="L30" s="1030">
        <v>0</v>
      </c>
      <c r="M30" s="256">
        <v>0</v>
      </c>
      <c r="N30" s="1066">
        <v>0</v>
      </c>
      <c r="O30" s="1030">
        <v>0</v>
      </c>
      <c r="P30" s="1065">
        <v>0</v>
      </c>
      <c r="U30" s="338"/>
      <c r="V30" s="338"/>
      <c r="W30" s="338"/>
    </row>
    <row r="31" spans="1:23" ht="11.25" customHeight="1" x14ac:dyDescent="0.25">
      <c r="A31" s="249" t="s">
        <v>696</v>
      </c>
      <c r="B31" s="1066">
        <v>0</v>
      </c>
      <c r="C31" s="1030">
        <v>0</v>
      </c>
      <c r="D31" s="1030">
        <v>0</v>
      </c>
      <c r="E31" s="1030">
        <v>0</v>
      </c>
      <c r="F31" s="1030">
        <v>0</v>
      </c>
      <c r="G31" s="1030">
        <v>0</v>
      </c>
      <c r="H31" s="1030">
        <v>0</v>
      </c>
      <c r="I31" s="1030">
        <v>0</v>
      </c>
      <c r="J31" s="1030">
        <v>0</v>
      </c>
      <c r="K31" s="1030">
        <v>0</v>
      </c>
      <c r="L31" s="1030">
        <v>0</v>
      </c>
      <c r="M31" s="256">
        <v>0</v>
      </c>
      <c r="N31" s="1066">
        <v>0</v>
      </c>
      <c r="O31" s="1030">
        <v>0</v>
      </c>
      <c r="P31" s="1065">
        <v>0</v>
      </c>
      <c r="U31" s="338"/>
      <c r="V31" s="338"/>
      <c r="W31" s="338"/>
    </row>
    <row r="32" spans="1:23" ht="11.25" customHeight="1" x14ac:dyDescent="0.25">
      <c r="A32" s="249" t="s">
        <v>697</v>
      </c>
      <c r="B32" s="1066">
        <v>-4985.833333333333</v>
      </c>
      <c r="C32" s="1030">
        <v>-4985.833333333333</v>
      </c>
      <c r="D32" s="1030">
        <v>-4985.833333333333</v>
      </c>
      <c r="E32" s="1030">
        <v>-4985.833333333333</v>
      </c>
      <c r="F32" s="1030">
        <v>-4985.833333333333</v>
      </c>
      <c r="G32" s="1030">
        <v>-4985.833333333333</v>
      </c>
      <c r="H32" s="1030">
        <v>-4985.833333333333</v>
      </c>
      <c r="I32" s="1030">
        <v>-4985.833333333333</v>
      </c>
      <c r="J32" s="1030">
        <v>-4985.833333333333</v>
      </c>
      <c r="K32" s="1030">
        <v>-4985.833333333333</v>
      </c>
      <c r="L32" s="1030">
        <v>-4985.833333333333</v>
      </c>
      <c r="M32" s="256">
        <v>-4985.8333333333285</v>
      </c>
      <c r="N32" s="1066">
        <v>-59830</v>
      </c>
      <c r="O32" s="1030">
        <v>-89000</v>
      </c>
      <c r="P32" s="1065">
        <v>-94000</v>
      </c>
      <c r="U32" s="338"/>
      <c r="V32" s="338"/>
      <c r="W32" s="338"/>
    </row>
    <row r="33" spans="1:29" ht="11.25" customHeight="1" x14ac:dyDescent="0.25">
      <c r="A33" s="652" t="s">
        <v>715</v>
      </c>
      <c r="B33" s="656">
        <v>10619267.389010265</v>
      </c>
      <c r="C33" s="654">
        <v>1119091.3519835672</v>
      </c>
      <c r="D33" s="654">
        <v>5500818.6145048076</v>
      </c>
      <c r="E33" s="654">
        <v>3631646.1826518825</v>
      </c>
      <c r="F33" s="654">
        <v>3007452.1378366677</v>
      </c>
      <c r="G33" s="654">
        <v>6697183.4028409477</v>
      </c>
      <c r="H33" s="654">
        <v>3331433.2651894796</v>
      </c>
      <c r="I33" s="654">
        <v>3102291.5390464775</v>
      </c>
      <c r="J33" s="654">
        <v>9301138.5883166455</v>
      </c>
      <c r="K33" s="654">
        <v>3734030.1892298553</v>
      </c>
      <c r="L33" s="654">
        <v>15172962.164222265</v>
      </c>
      <c r="M33" s="655">
        <v>14244239.193851415</v>
      </c>
      <c r="N33" s="656">
        <v>79461554.018684268</v>
      </c>
      <c r="O33" s="654">
        <v>84632262.320587322</v>
      </c>
      <c r="P33" s="655">
        <v>89637251.802541301</v>
      </c>
      <c r="U33" s="338"/>
      <c r="V33" s="338"/>
      <c r="W33" s="338"/>
    </row>
    <row r="34" spans="1:29" ht="5.0999999999999996" customHeight="1" x14ac:dyDescent="0.25">
      <c r="A34" s="695"/>
      <c r="B34" s="246"/>
      <c r="C34" s="205"/>
      <c r="D34" s="205"/>
      <c r="E34" s="205"/>
      <c r="F34" s="205"/>
      <c r="G34" s="205"/>
      <c r="H34" s="205"/>
      <c r="I34" s="205"/>
      <c r="J34" s="205"/>
      <c r="K34" s="205"/>
      <c r="L34" s="205"/>
      <c r="M34" s="256"/>
      <c r="N34" s="246"/>
      <c r="O34" s="205"/>
      <c r="P34" s="256"/>
      <c r="U34" s="338"/>
      <c r="V34" s="338"/>
      <c r="W34" s="338"/>
    </row>
    <row r="35" spans="1:29" x14ac:dyDescent="0.25">
      <c r="A35" s="651" t="s">
        <v>1621</v>
      </c>
      <c r="B35" s="246"/>
      <c r="C35" s="205"/>
      <c r="D35" s="205"/>
      <c r="E35" s="205"/>
      <c r="F35" s="205"/>
      <c r="G35" s="205"/>
      <c r="H35" s="205"/>
      <c r="I35" s="205"/>
      <c r="J35" s="205"/>
      <c r="K35" s="205"/>
      <c r="L35" s="205"/>
      <c r="M35" s="256"/>
      <c r="N35" s="252"/>
      <c r="O35" s="205"/>
      <c r="P35" s="256"/>
      <c r="U35" s="338">
        <v>41120594.413171999</v>
      </c>
      <c r="V35" s="338">
        <v>41264830.077962324</v>
      </c>
      <c r="W35" s="338">
        <v>43857119.882640064</v>
      </c>
    </row>
    <row r="36" spans="1:29" x14ac:dyDescent="0.25">
      <c r="A36" s="249" t="s">
        <v>478</v>
      </c>
      <c r="B36" s="1066">
        <v>1788162.7760237458</v>
      </c>
      <c r="C36" s="1030">
        <v>1740218.3787459785</v>
      </c>
      <c r="D36" s="1030">
        <v>1926510.7930288522</v>
      </c>
      <c r="E36" s="1030">
        <v>1926510.7930288524</v>
      </c>
      <c r="F36" s="1030">
        <v>1793891.2125306437</v>
      </c>
      <c r="G36" s="1030">
        <v>2402336.4558857232</v>
      </c>
      <c r="H36" s="1030">
        <v>2015741.5157703504</v>
      </c>
      <c r="I36" s="1030">
        <v>1971332.5701012693</v>
      </c>
      <c r="J36" s="1030">
        <v>1824140.0638356504</v>
      </c>
      <c r="K36" s="1030">
        <v>1992833.6324003465</v>
      </c>
      <c r="L36" s="1030">
        <v>4611921.3839038527</v>
      </c>
      <c r="M36" s="256">
        <v>4611921.383903861</v>
      </c>
      <c r="N36" s="1066">
        <v>28605520.959159125</v>
      </c>
      <c r="O36" s="1030">
        <v>30321852.216708675</v>
      </c>
      <c r="P36" s="1065">
        <v>32141163.349711191</v>
      </c>
      <c r="U36" s="338"/>
      <c r="V36" s="338"/>
      <c r="W36" s="338"/>
    </row>
    <row r="37" spans="1:29" x14ac:dyDescent="0.25">
      <c r="A37" s="249" t="s">
        <v>532</v>
      </c>
      <c r="B37" s="1066">
        <v>144344.55231569515</v>
      </c>
      <c r="C37" s="1030">
        <v>144344.55231569515</v>
      </c>
      <c r="D37" s="1030">
        <v>144344.45341991071</v>
      </c>
      <c r="E37" s="1030">
        <v>144344.45341991071</v>
      </c>
      <c r="F37" s="1030">
        <v>144344.45341991071</v>
      </c>
      <c r="G37" s="1030">
        <v>144344.45341991057</v>
      </c>
      <c r="H37" s="1030">
        <v>144344.45341991071</v>
      </c>
      <c r="I37" s="1030">
        <v>203090.28182841971</v>
      </c>
      <c r="J37" s="1030">
        <v>151556.53904189178</v>
      </c>
      <c r="K37" s="1030">
        <v>151556.53904189158</v>
      </c>
      <c r="L37" s="1030">
        <v>256924.1485784268</v>
      </c>
      <c r="M37" s="256">
        <v>256924.1485784268</v>
      </c>
      <c r="N37" s="1066">
        <v>2030463.0288000004</v>
      </c>
      <c r="O37" s="1030">
        <v>2152290.8105280004</v>
      </c>
      <c r="P37" s="1065">
        <v>2281428.2591596809</v>
      </c>
      <c r="U37" s="338"/>
      <c r="V37" s="338"/>
      <c r="W37" s="338"/>
    </row>
    <row r="38" spans="1:29" x14ac:dyDescent="0.25">
      <c r="A38" s="249" t="s">
        <v>1565</v>
      </c>
      <c r="B38" s="1066">
        <v>19070.974999999999</v>
      </c>
      <c r="C38" s="1030">
        <v>68578.27060145454</v>
      </c>
      <c r="D38" s="1030">
        <v>45475.622800727266</v>
      </c>
      <c r="E38" s="1030">
        <v>45475.62280072728</v>
      </c>
      <c r="F38" s="1030">
        <v>47011.252800727278</v>
      </c>
      <c r="G38" s="1030">
        <v>40725.152800727286</v>
      </c>
      <c r="H38" s="1030">
        <v>30428.952800727253</v>
      </c>
      <c r="I38" s="1030">
        <v>64524.902800727272</v>
      </c>
      <c r="J38" s="1030">
        <v>62422.120300727278</v>
      </c>
      <c r="K38" s="1030">
        <v>64566.537800727274</v>
      </c>
      <c r="L38" s="1030">
        <v>81040.294746363623</v>
      </c>
      <c r="M38" s="256">
        <v>81040.294746363652</v>
      </c>
      <c r="N38" s="1066">
        <v>650360</v>
      </c>
      <c r="O38" s="1030">
        <v>689381.60000000009</v>
      </c>
      <c r="P38" s="1065">
        <v>730744.49600000004</v>
      </c>
      <c r="U38" s="338"/>
      <c r="V38" s="338"/>
      <c r="W38" s="338"/>
    </row>
    <row r="39" spans="1:29" x14ac:dyDescent="0.25">
      <c r="A39" s="249" t="s">
        <v>714</v>
      </c>
      <c r="B39" s="1066">
        <v>703855.03746543941</v>
      </c>
      <c r="C39" s="1030">
        <v>949490.80083134363</v>
      </c>
      <c r="D39" s="1030">
        <v>1107394.3459491713</v>
      </c>
      <c r="E39" s="1030">
        <v>1107394.3459491713</v>
      </c>
      <c r="F39" s="1030">
        <v>534389.42671197548</v>
      </c>
      <c r="G39" s="1030">
        <v>505313.15316682955</v>
      </c>
      <c r="H39" s="1030">
        <v>534805.23336867359</v>
      </c>
      <c r="I39" s="1030">
        <v>83376.455788329491</v>
      </c>
      <c r="J39" s="1030">
        <v>976744.62638897705</v>
      </c>
      <c r="K39" s="1030">
        <v>565348.04833030875</v>
      </c>
      <c r="L39" s="1030">
        <v>882946.76302489021</v>
      </c>
      <c r="M39" s="256">
        <v>662493.46022616886</v>
      </c>
      <c r="N39" s="1066">
        <v>8613551.6972012781</v>
      </c>
      <c r="O39" s="1030">
        <v>9126357.8189744744</v>
      </c>
      <c r="P39" s="1065">
        <v>9673296.1998809427</v>
      </c>
      <c r="U39" s="338">
        <v>8834005</v>
      </c>
      <c r="V39" s="338">
        <v>9364045.3000000007</v>
      </c>
      <c r="W39" s="338">
        <v>9925888.0180000011</v>
      </c>
      <c r="X39" s="1992">
        <v>0.21483164643092412</v>
      </c>
      <c r="Y39" s="1992">
        <v>0.22692557517644821</v>
      </c>
      <c r="Z39" s="1992">
        <v>0.22632329812266033</v>
      </c>
      <c r="AA39" s="148">
        <v>220453.30279872179</v>
      </c>
      <c r="AB39" s="148">
        <v>237687.48102552647</v>
      </c>
      <c r="AC39" s="148">
        <v>252591.81811905585</v>
      </c>
    </row>
    <row r="40" spans="1:29" x14ac:dyDescent="0.25">
      <c r="A40" s="249" t="s">
        <v>717</v>
      </c>
      <c r="B40" s="1066">
        <v>0</v>
      </c>
      <c r="C40" s="1030">
        <v>40022.743528125</v>
      </c>
      <c r="D40" s="1030">
        <v>59577.240867187495</v>
      </c>
      <c r="E40" s="1030">
        <v>59577.240867187502</v>
      </c>
      <c r="F40" s="1030">
        <v>0</v>
      </c>
      <c r="G40" s="1030">
        <v>0</v>
      </c>
      <c r="H40" s="1030">
        <v>75283.658971875004</v>
      </c>
      <c r="I40" s="1030">
        <v>33169.627153125024</v>
      </c>
      <c r="J40" s="1030">
        <v>40222.626089062476</v>
      </c>
      <c r="K40" s="1030">
        <v>72973.451685937514</v>
      </c>
      <c r="L40" s="1030">
        <v>51319.205418749996</v>
      </c>
      <c r="M40" s="256">
        <v>39254.297595222131</v>
      </c>
      <c r="N40" s="1066">
        <v>471400.09217647219</v>
      </c>
      <c r="O40" s="1030">
        <v>499464.80480263417</v>
      </c>
      <c r="P40" s="1065">
        <v>529397.49833461049</v>
      </c>
      <c r="Q40" s="663"/>
      <c r="U40" s="338">
        <v>483465</v>
      </c>
      <c r="V40" s="338">
        <v>512472.9</v>
      </c>
      <c r="W40" s="338">
        <v>543221.27399999998</v>
      </c>
      <c r="X40" s="1992">
        <v>1.1757247357424715E-2</v>
      </c>
      <c r="Y40" s="1992">
        <v>1.2419120569060299E-2</v>
      </c>
      <c r="Z40" s="1992">
        <v>1.2386159315833754E-2</v>
      </c>
      <c r="AA40" s="148">
        <v>12064.907823527836</v>
      </c>
      <c r="AB40" s="148">
        <v>13008.095197365878</v>
      </c>
      <c r="AC40" s="148">
        <v>13823.775665389518</v>
      </c>
    </row>
    <row r="41" spans="1:29" x14ac:dyDescent="0.25">
      <c r="A41" s="249" t="s">
        <v>1533</v>
      </c>
      <c r="B41" s="1066">
        <v>0</v>
      </c>
      <c r="C41" s="1030">
        <v>0</v>
      </c>
      <c r="D41" s="1030">
        <v>0</v>
      </c>
      <c r="E41" s="1030">
        <v>0</v>
      </c>
      <c r="F41" s="1030">
        <v>0</v>
      </c>
      <c r="G41" s="1030">
        <v>0</v>
      </c>
      <c r="H41" s="1030">
        <v>0</v>
      </c>
      <c r="I41" s="1030">
        <v>0</v>
      </c>
      <c r="J41" s="1030">
        <v>0</v>
      </c>
      <c r="K41" s="1030">
        <v>0</v>
      </c>
      <c r="L41" s="1030">
        <v>0</v>
      </c>
      <c r="M41" s="256">
        <v>0</v>
      </c>
      <c r="N41" s="1066">
        <v>0</v>
      </c>
      <c r="O41" s="1030">
        <v>0</v>
      </c>
      <c r="P41" s="1065">
        <v>0</v>
      </c>
      <c r="Q41" s="663"/>
      <c r="U41" s="338"/>
      <c r="V41" s="338"/>
      <c r="W41" s="338"/>
      <c r="X41" s="1992">
        <v>0</v>
      </c>
      <c r="Y41" s="1992">
        <v>0</v>
      </c>
      <c r="Z41" s="1992">
        <v>0</v>
      </c>
      <c r="AA41" s="148">
        <v>0</v>
      </c>
      <c r="AB41" s="148">
        <v>0</v>
      </c>
      <c r="AC41" s="148">
        <v>0</v>
      </c>
    </row>
    <row r="42" spans="1:29" x14ac:dyDescent="0.25">
      <c r="A42" s="249" t="s">
        <v>481</v>
      </c>
      <c r="B42" s="1066">
        <v>870227.59096832527</v>
      </c>
      <c r="C42" s="1030">
        <v>870227.59096832527</v>
      </c>
      <c r="D42" s="1030">
        <v>870227.59096832527</v>
      </c>
      <c r="E42" s="1030">
        <v>870227.59096832527</v>
      </c>
      <c r="F42" s="1030">
        <v>870227.59096832527</v>
      </c>
      <c r="G42" s="1030">
        <v>870227.59096832527</v>
      </c>
      <c r="H42" s="1030">
        <v>870227.59096832527</v>
      </c>
      <c r="I42" s="1030">
        <v>870227.59096832527</v>
      </c>
      <c r="J42" s="1030">
        <v>870227.59096832527</v>
      </c>
      <c r="K42" s="1030">
        <v>870227.59096832527</v>
      </c>
      <c r="L42" s="1030">
        <v>870227.59096832527</v>
      </c>
      <c r="M42" s="256">
        <v>870227.59096832201</v>
      </c>
      <c r="N42" s="1066">
        <v>10442731.091619903</v>
      </c>
      <c r="O42" s="1030">
        <v>11064437.05218829</v>
      </c>
      <c r="P42" s="1065">
        <v>11727523.620455831</v>
      </c>
      <c r="U42" s="338">
        <v>10710000</v>
      </c>
      <c r="V42" s="338">
        <v>11352600</v>
      </c>
      <c r="W42" s="338">
        <v>12033756</v>
      </c>
      <c r="X42" s="1992">
        <v>0.26045343343989474</v>
      </c>
      <c r="Y42" s="1992">
        <v>0.27511563669476757</v>
      </c>
      <c r="Z42" s="1992">
        <v>0.2743854596973504</v>
      </c>
      <c r="AA42" s="148">
        <v>267268.90838009602</v>
      </c>
      <c r="AB42" s="148">
        <v>288162.94781171036</v>
      </c>
      <c r="AC42" s="148">
        <v>306232.37954416918</v>
      </c>
    </row>
    <row r="43" spans="1:29" x14ac:dyDescent="0.25">
      <c r="A43" s="249" t="s">
        <v>2066</v>
      </c>
      <c r="B43" s="1066">
        <v>0</v>
      </c>
      <c r="C43" s="1030">
        <v>0</v>
      </c>
      <c r="D43" s="1030">
        <v>0</v>
      </c>
      <c r="E43" s="1030">
        <v>0</v>
      </c>
      <c r="F43" s="1030">
        <v>0</v>
      </c>
      <c r="G43" s="1030">
        <v>0</v>
      </c>
      <c r="H43" s="1030">
        <v>0</v>
      </c>
      <c r="I43" s="1030">
        <v>0</v>
      </c>
      <c r="J43" s="1030">
        <v>0</v>
      </c>
      <c r="K43" s="1030">
        <v>0</v>
      </c>
      <c r="L43" s="1030">
        <v>0</v>
      </c>
      <c r="M43" s="256">
        <v>0</v>
      </c>
      <c r="N43" s="1066">
        <v>0</v>
      </c>
      <c r="O43" s="1030">
        <v>0</v>
      </c>
      <c r="P43" s="1065">
        <v>0</v>
      </c>
      <c r="U43" s="338"/>
      <c r="V43" s="338"/>
      <c r="W43" s="338"/>
      <c r="X43" s="1992">
        <v>0</v>
      </c>
      <c r="Y43" s="1992">
        <v>0</v>
      </c>
      <c r="Z43" s="1992">
        <v>0</v>
      </c>
      <c r="AA43" s="148">
        <v>0</v>
      </c>
      <c r="AB43" s="148">
        <v>0</v>
      </c>
      <c r="AC43" s="148">
        <v>0</v>
      </c>
    </row>
    <row r="44" spans="1:29" x14ac:dyDescent="0.25">
      <c r="A44" s="249" t="s">
        <v>2067</v>
      </c>
      <c r="B44" s="1066">
        <v>18628.697419649805</v>
      </c>
      <c r="C44" s="1030">
        <v>93594.380828496214</v>
      </c>
      <c r="D44" s="1030">
        <v>227875.47750038726</v>
      </c>
      <c r="E44" s="1030">
        <v>227875.47750038721</v>
      </c>
      <c r="F44" s="1030">
        <v>1455412.9428932499</v>
      </c>
      <c r="G44" s="1030">
        <v>52398.263071092828</v>
      </c>
      <c r="H44" s="1030">
        <v>1258029.7570373644</v>
      </c>
      <c r="I44" s="1030">
        <v>500002.55967526848</v>
      </c>
      <c r="J44" s="1030">
        <v>550352.13652159693</v>
      </c>
      <c r="K44" s="1030">
        <v>508730.9794566636</v>
      </c>
      <c r="L44" s="1030">
        <v>46462.505647921818</v>
      </c>
      <c r="M44" s="256">
        <v>46462.505647921935</v>
      </c>
      <c r="N44" s="1066">
        <v>4985825.6831999999</v>
      </c>
      <c r="O44" s="1030">
        <v>5284975.224192</v>
      </c>
      <c r="P44" s="1065">
        <v>5602073.7376435203</v>
      </c>
      <c r="U44" s="338"/>
      <c r="V44" s="338"/>
      <c r="W44" s="338"/>
      <c r="X44" s="1992">
        <v>0</v>
      </c>
      <c r="Y44" s="1992">
        <v>0</v>
      </c>
      <c r="Z44" s="1992">
        <v>0</v>
      </c>
      <c r="AA44" s="148">
        <v>0</v>
      </c>
      <c r="AB44" s="148">
        <v>0</v>
      </c>
      <c r="AC44" s="148">
        <v>0</v>
      </c>
    </row>
    <row r="45" spans="1:29" x14ac:dyDescent="0.25">
      <c r="A45" s="249" t="s">
        <v>960</v>
      </c>
      <c r="B45" s="1066">
        <v>1088861.2743243254</v>
      </c>
      <c r="C45" s="1030">
        <v>901338.2790568308</v>
      </c>
      <c r="D45" s="1030">
        <v>1230898.9613820168</v>
      </c>
      <c r="E45" s="1030">
        <v>1230898.961382017</v>
      </c>
      <c r="F45" s="1030">
        <v>1505704.1566079459</v>
      </c>
      <c r="G45" s="1030">
        <v>1886725.2673250253</v>
      </c>
      <c r="H45" s="1030">
        <v>609194.85515917733</v>
      </c>
      <c r="I45" s="1030">
        <v>492563.23814450559</v>
      </c>
      <c r="J45" s="1030">
        <v>875285.89086225594</v>
      </c>
      <c r="K45" s="1030">
        <v>913756.181628527</v>
      </c>
      <c r="L45" s="1030">
        <v>5178948.6736496845</v>
      </c>
      <c r="M45" s="256">
        <v>4652568.0633570589</v>
      </c>
      <c r="N45" s="1066">
        <v>20566743.802879371</v>
      </c>
      <c r="O45" s="1030">
        <v>19527145.576299291</v>
      </c>
      <c r="P45" s="1065">
        <v>20810836.210154057</v>
      </c>
      <c r="U45" s="338">
        <v>21093124.413171999</v>
      </c>
      <c r="V45" s="338">
        <v>20035711.877962321</v>
      </c>
      <c r="W45" s="338">
        <v>21354254.590640057</v>
      </c>
      <c r="X45" s="1992">
        <v>0.51295767277175641</v>
      </c>
      <c r="Y45" s="1992">
        <v>0.48553966755972389</v>
      </c>
      <c r="Z45" s="1992">
        <v>0.4869050828641554</v>
      </c>
      <c r="AA45" s="148">
        <v>526380.61029262678</v>
      </c>
      <c r="AB45" s="148">
        <v>508566.3016630307</v>
      </c>
      <c r="AC45" s="148">
        <v>543418.38048600138</v>
      </c>
    </row>
    <row r="46" spans="1:29" x14ac:dyDescent="0.25">
      <c r="A46" s="566" t="s">
        <v>1621</v>
      </c>
      <c r="B46" s="261">
        <v>4633150.9035171811</v>
      </c>
      <c r="C46" s="259">
        <v>4807814.9968762491</v>
      </c>
      <c r="D46" s="259">
        <v>5612304.4859165773</v>
      </c>
      <c r="E46" s="259">
        <v>5612304.4859165791</v>
      </c>
      <c r="F46" s="259">
        <v>6350981.0359327793</v>
      </c>
      <c r="G46" s="259">
        <v>5902070.3366376339</v>
      </c>
      <c r="H46" s="259">
        <v>5538056.0174964042</v>
      </c>
      <c r="I46" s="259">
        <v>4218287.2264599698</v>
      </c>
      <c r="J46" s="259">
        <v>5350951.5940084876</v>
      </c>
      <c r="K46" s="259">
        <v>5139992.961312728</v>
      </c>
      <c r="L46" s="259">
        <v>11979790.565938216</v>
      </c>
      <c r="M46" s="260">
        <v>11220891.745023346</v>
      </c>
      <c r="N46" s="261">
        <v>76366596.355036139</v>
      </c>
      <c r="O46" s="259">
        <v>78665905.103693366</v>
      </c>
      <c r="P46" s="260">
        <v>83496463.371339828</v>
      </c>
      <c r="U46" s="148">
        <v>1026167.7292949725</v>
      </c>
      <c r="V46" s="148">
        <v>1047424.8256976334</v>
      </c>
      <c r="W46" s="148">
        <v>1116066.3538146161</v>
      </c>
    </row>
    <row r="47" spans="1:29" ht="5.0999999999999996" customHeight="1" x14ac:dyDescent="0.25">
      <c r="A47" s="658"/>
      <c r="B47" s="246"/>
      <c r="C47" s="205"/>
      <c r="D47" s="205"/>
      <c r="E47" s="205"/>
      <c r="F47" s="205"/>
      <c r="G47" s="205"/>
      <c r="H47" s="205"/>
      <c r="I47" s="205"/>
      <c r="J47" s="205"/>
      <c r="K47" s="205"/>
      <c r="L47" s="205"/>
      <c r="M47" s="256"/>
      <c r="N47" s="246"/>
      <c r="O47" s="205"/>
      <c r="P47" s="256"/>
    </row>
    <row r="48" spans="1:29" x14ac:dyDescent="0.25">
      <c r="A48" s="566" t="s">
        <v>304</v>
      </c>
      <c r="B48" s="246"/>
      <c r="C48" s="205"/>
      <c r="D48" s="205"/>
      <c r="E48" s="205"/>
      <c r="F48" s="205"/>
      <c r="G48" s="205"/>
      <c r="H48" s="205"/>
      <c r="I48" s="205"/>
      <c r="J48" s="205"/>
      <c r="K48" s="205"/>
      <c r="L48" s="205"/>
      <c r="M48" s="256"/>
      <c r="N48" s="246"/>
      <c r="O48" s="205"/>
      <c r="P48" s="256"/>
      <c r="U48" s="1916">
        <v>-76366596.355036154</v>
      </c>
      <c r="V48" s="1916">
        <v>-78665905.103693351</v>
      </c>
      <c r="W48" s="1916">
        <v>-83496463.371339843</v>
      </c>
    </row>
    <row r="49" spans="1:23" x14ac:dyDescent="0.25">
      <c r="A49" s="249" t="s">
        <v>1491</v>
      </c>
      <c r="B49" s="1066">
        <v>37500</v>
      </c>
      <c r="C49" s="1030">
        <v>140000</v>
      </c>
      <c r="D49" s="1030">
        <v>140000</v>
      </c>
      <c r="E49" s="1030">
        <v>140000</v>
      </c>
      <c r="F49" s="1030">
        <v>102500</v>
      </c>
      <c r="G49" s="1030">
        <v>1944566.6666666667</v>
      </c>
      <c r="H49" s="1030">
        <v>2027900</v>
      </c>
      <c r="I49" s="1030">
        <v>3095160</v>
      </c>
      <c r="J49" s="1030">
        <v>1540593.3333333333</v>
      </c>
      <c r="K49" s="1030">
        <v>1067260</v>
      </c>
      <c r="L49" s="1030">
        <v>1364760</v>
      </c>
      <c r="M49" s="256">
        <v>1364760</v>
      </c>
      <c r="N49" s="1066">
        <v>12965000</v>
      </c>
      <c r="O49" s="1030">
        <v>14492300</v>
      </c>
      <c r="P49" s="1065">
        <v>14477838</v>
      </c>
      <c r="U49" s="338"/>
      <c r="V49" s="338"/>
      <c r="W49" s="338"/>
    </row>
    <row r="50" spans="1:23" x14ac:dyDescent="0.25">
      <c r="A50" s="249" t="s">
        <v>834</v>
      </c>
      <c r="B50" s="1066">
        <v>0</v>
      </c>
      <c r="C50" s="1030">
        <v>0</v>
      </c>
      <c r="D50" s="1030">
        <v>0</v>
      </c>
      <c r="E50" s="1030">
        <v>0</v>
      </c>
      <c r="F50" s="1030">
        <v>0</v>
      </c>
      <c r="G50" s="1030">
        <v>0</v>
      </c>
      <c r="H50" s="1030">
        <v>117754.92980286949</v>
      </c>
      <c r="I50" s="1030">
        <v>0</v>
      </c>
      <c r="J50" s="1030">
        <v>0</v>
      </c>
      <c r="K50" s="1030">
        <v>0</v>
      </c>
      <c r="L50" s="1030">
        <v>0</v>
      </c>
      <c r="M50" s="256">
        <v>117754.92980286949</v>
      </c>
      <c r="N50" s="1066">
        <v>235509.85960573898</v>
      </c>
      <c r="O50" s="1030">
        <v>208236.01676926101</v>
      </c>
      <c r="P50" s="1065">
        <v>203583.173625</v>
      </c>
      <c r="U50" s="330">
        <v>0</v>
      </c>
      <c r="V50" s="330">
        <v>0</v>
      </c>
      <c r="W50" s="330">
        <v>0</v>
      </c>
    </row>
    <row r="51" spans="1:23" x14ac:dyDescent="0.25">
      <c r="A51" s="249" t="s">
        <v>2556</v>
      </c>
      <c r="B51" s="1066">
        <v>0</v>
      </c>
      <c r="C51" s="1030">
        <v>0</v>
      </c>
      <c r="D51" s="1030">
        <v>0</v>
      </c>
      <c r="E51" s="1030">
        <v>0</v>
      </c>
      <c r="F51" s="1030">
        <v>0</v>
      </c>
      <c r="G51" s="1030">
        <v>0</v>
      </c>
      <c r="H51" s="1030">
        <v>0</v>
      </c>
      <c r="I51" s="1030">
        <v>0</v>
      </c>
      <c r="J51" s="1030">
        <v>0</v>
      </c>
      <c r="K51" s="1030">
        <v>0</v>
      </c>
      <c r="L51" s="1030">
        <v>0</v>
      </c>
      <c r="M51" s="256">
        <v>0</v>
      </c>
      <c r="N51" s="1066">
        <v>0</v>
      </c>
      <c r="O51" s="1030">
        <v>0</v>
      </c>
      <c r="P51" s="1065">
        <v>0</v>
      </c>
      <c r="U51" s="338"/>
      <c r="V51" s="338"/>
      <c r="W51" s="338"/>
    </row>
    <row r="52" spans="1:23" x14ac:dyDescent="0.25">
      <c r="A52" s="652" t="s">
        <v>716</v>
      </c>
      <c r="B52" s="656">
        <v>4670650.9035171811</v>
      </c>
      <c r="C52" s="654">
        <v>4947814.9968762491</v>
      </c>
      <c r="D52" s="654">
        <v>5752304.4859165773</v>
      </c>
      <c r="E52" s="654">
        <v>5752304.4859165791</v>
      </c>
      <c r="F52" s="654">
        <v>6453481.0359327793</v>
      </c>
      <c r="G52" s="654">
        <v>7846637.0033043008</v>
      </c>
      <c r="H52" s="654">
        <v>7683710.9472992737</v>
      </c>
      <c r="I52" s="654">
        <v>7313447.2264599698</v>
      </c>
      <c r="J52" s="654">
        <v>6891544.9273418207</v>
      </c>
      <c r="K52" s="654">
        <v>6207252.961312728</v>
      </c>
      <c r="L52" s="654">
        <v>13344550.565938216</v>
      </c>
      <c r="M52" s="655">
        <v>12703406.674826216</v>
      </c>
      <c r="N52" s="656">
        <v>89567106.214641884</v>
      </c>
      <c r="O52" s="654">
        <v>93366441.120462626</v>
      </c>
      <c r="P52" s="655">
        <v>98177884.544964835</v>
      </c>
      <c r="R52" s="696" t="s">
        <v>550</v>
      </c>
      <c r="U52" s="338"/>
      <c r="V52" s="338"/>
      <c r="W52" s="338"/>
    </row>
    <row r="53" spans="1:23" ht="5.0999999999999996" customHeight="1" x14ac:dyDescent="0.25">
      <c r="A53" s="658"/>
      <c r="B53" s="246"/>
      <c r="C53" s="205"/>
      <c r="D53" s="205"/>
      <c r="E53" s="205"/>
      <c r="F53" s="205"/>
      <c r="G53" s="205"/>
      <c r="H53" s="205"/>
      <c r="I53" s="205"/>
      <c r="J53" s="205"/>
      <c r="K53" s="205"/>
      <c r="L53" s="205"/>
      <c r="M53" s="256"/>
      <c r="N53" s="246"/>
      <c r="O53" s="205"/>
      <c r="P53" s="256"/>
      <c r="U53" s="338"/>
      <c r="V53" s="338"/>
      <c r="W53" s="338"/>
    </row>
    <row r="54" spans="1:23" s="635" customFormat="1" ht="13.5" thickBot="1" x14ac:dyDescent="0.25">
      <c r="A54" s="697" t="s">
        <v>400</v>
      </c>
      <c r="B54" s="698">
        <v>5948616.4854930844</v>
      </c>
      <c r="C54" s="699">
        <v>-3828723.6448926819</v>
      </c>
      <c r="D54" s="699">
        <v>-251485.87141176965</v>
      </c>
      <c r="E54" s="699">
        <v>-2120658.3032646966</v>
      </c>
      <c r="F54" s="699">
        <v>-3446028.8980961116</v>
      </c>
      <c r="G54" s="699">
        <v>-1149453.6004633531</v>
      </c>
      <c r="H54" s="699">
        <v>-4352277.6821097936</v>
      </c>
      <c r="I54" s="699">
        <v>-4211155.6874134922</v>
      </c>
      <c r="J54" s="699">
        <v>2409593.6609748248</v>
      </c>
      <c r="K54" s="699">
        <v>-2473222.7720828727</v>
      </c>
      <c r="L54" s="699">
        <v>1828411.598284049</v>
      </c>
      <c r="M54" s="700">
        <v>1540832.5190251991</v>
      </c>
      <c r="N54" s="698">
        <v>-10105552.195957616</v>
      </c>
      <c r="O54" s="699">
        <v>-8734178.7998753041</v>
      </c>
      <c r="P54" s="700">
        <v>-8540632.7424235344</v>
      </c>
      <c r="Q54" s="701"/>
      <c r="R54" s="702"/>
      <c r="S54" s="703"/>
      <c r="T54" s="704"/>
      <c r="U54" s="704"/>
      <c r="V54" s="704"/>
      <c r="W54" s="704"/>
    </row>
    <row r="55" spans="1:23" ht="10.5" customHeight="1" x14ac:dyDescent="0.25">
      <c r="A55" s="658" t="s">
        <v>966</v>
      </c>
      <c r="B55" s="2602">
        <v>-15133397.219264206</v>
      </c>
      <c r="C55" s="333">
        <v>-9184780.7337711211</v>
      </c>
      <c r="D55" s="333">
        <v>-13013504.378663803</v>
      </c>
      <c r="E55" s="333">
        <v>-13264990.250075571</v>
      </c>
      <c r="F55" s="333">
        <v>-15385648.553340267</v>
      </c>
      <c r="G55" s="333">
        <v>-18831677.451436378</v>
      </c>
      <c r="H55" s="333">
        <v>-19981131.051899731</v>
      </c>
      <c r="I55" s="333">
        <v>-24333408.734009527</v>
      </c>
      <c r="J55" s="333">
        <v>-28544564.421423018</v>
      </c>
      <c r="K55" s="333">
        <v>-26134970.760448195</v>
      </c>
      <c r="L55" s="333">
        <v>-28608193.532531068</v>
      </c>
      <c r="M55" s="334">
        <v>-26779781.934247017</v>
      </c>
      <c r="N55" s="335">
        <v>-15133397.219264206</v>
      </c>
      <c r="O55" s="333">
        <v>-25238949.415221822</v>
      </c>
      <c r="P55" s="334">
        <v>-33973128.215097129</v>
      </c>
      <c r="U55" s="338"/>
      <c r="V55" s="338"/>
      <c r="W55" s="338"/>
    </row>
    <row r="56" spans="1:23" ht="10.5" customHeight="1" x14ac:dyDescent="0.25">
      <c r="A56" s="705" t="s">
        <v>965</v>
      </c>
      <c r="B56" s="706">
        <v>-9184780.7337711211</v>
      </c>
      <c r="C56" s="707">
        <v>-13013504.378663803</v>
      </c>
      <c r="D56" s="707">
        <v>-13264990.250075571</v>
      </c>
      <c r="E56" s="707">
        <v>-15385648.553340267</v>
      </c>
      <c r="F56" s="707">
        <v>-18831677.451436378</v>
      </c>
      <c r="G56" s="707">
        <v>-19981131.051899731</v>
      </c>
      <c r="H56" s="707">
        <v>-24333408.734009527</v>
      </c>
      <c r="I56" s="707">
        <v>-28544564.421423018</v>
      </c>
      <c r="J56" s="707">
        <v>-26134970.760448195</v>
      </c>
      <c r="K56" s="707">
        <v>-28608193.532531068</v>
      </c>
      <c r="L56" s="707">
        <v>-26779781.934247017</v>
      </c>
      <c r="M56" s="708">
        <v>-25238949.415221818</v>
      </c>
      <c r="N56" s="706">
        <v>-25238949.415221822</v>
      </c>
      <c r="O56" s="707">
        <v>-33973128.215097129</v>
      </c>
      <c r="P56" s="708">
        <v>-42513760.957520664</v>
      </c>
      <c r="U56" s="338"/>
      <c r="V56" s="338"/>
      <c r="W56" s="338"/>
    </row>
    <row r="57" spans="1:23" ht="10.5" customHeight="1" x14ac:dyDescent="0.25">
      <c r="A57" s="960" t="s">
        <v>986</v>
      </c>
      <c r="U57" s="338"/>
      <c r="V57" s="338"/>
      <c r="W57" s="338"/>
    </row>
    <row r="58" spans="1:23" ht="10.5" customHeight="1" x14ac:dyDescent="0.25">
      <c r="A58" s="962" t="s">
        <v>824</v>
      </c>
      <c r="U58" s="338"/>
      <c r="V58" s="338"/>
      <c r="W58" s="338"/>
    </row>
    <row r="59" spans="1:23" ht="10.5" customHeight="1" x14ac:dyDescent="0.25">
      <c r="A59" s="338"/>
      <c r="U59" s="338"/>
      <c r="V59" s="338"/>
      <c r="W59" s="338"/>
    </row>
    <row r="60" spans="1:23" ht="10.5" customHeight="1" x14ac:dyDescent="0.25">
      <c r="A60" s="338"/>
      <c r="N60" s="338">
        <v>-25238949.415221825</v>
      </c>
      <c r="O60" s="338">
        <v>-33973128.215097122</v>
      </c>
      <c r="P60" s="338">
        <v>-42513760.957520664</v>
      </c>
      <c r="U60" s="338"/>
      <c r="V60" s="338"/>
      <c r="W60" s="338"/>
    </row>
    <row r="61" spans="1:23" x14ac:dyDescent="0.25">
      <c r="A61" s="338"/>
      <c r="N61" s="1916">
        <v>0</v>
      </c>
      <c r="O61" s="1916">
        <v>0</v>
      </c>
      <c r="P61" s="1916">
        <v>0</v>
      </c>
      <c r="U61" s="338"/>
      <c r="V61" s="338"/>
      <c r="W61" s="338"/>
    </row>
    <row r="62" spans="1:23" x14ac:dyDescent="0.25">
      <c r="A62" s="338"/>
      <c r="E62" s="331"/>
      <c r="F62" s="331"/>
      <c r="G62" s="331"/>
      <c r="H62" s="331"/>
      <c r="I62" s="331"/>
      <c r="J62" s="331"/>
      <c r="K62" s="331"/>
      <c r="L62" s="331"/>
      <c r="M62" s="331"/>
      <c r="U62" s="338"/>
      <c r="V62" s="338"/>
      <c r="W62" s="338"/>
    </row>
    <row r="63" spans="1:23" x14ac:dyDescent="0.25">
      <c r="A63" s="338"/>
      <c r="E63" s="663"/>
      <c r="F63" s="663"/>
      <c r="G63" s="663"/>
      <c r="H63" s="663"/>
      <c r="I63" s="663"/>
      <c r="J63" s="663"/>
      <c r="K63" s="663"/>
      <c r="L63" s="663"/>
      <c r="M63" s="663"/>
      <c r="N63" s="663"/>
      <c r="O63" s="663"/>
      <c r="P63" s="663"/>
      <c r="U63" s="338"/>
      <c r="V63" s="338"/>
      <c r="W63" s="338"/>
    </row>
    <row r="64" spans="1:23" x14ac:dyDescent="0.25">
      <c r="A64" s="338"/>
      <c r="E64" s="663"/>
      <c r="F64" s="663"/>
      <c r="G64" s="663"/>
      <c r="H64" s="663"/>
      <c r="I64" s="663"/>
      <c r="J64" s="663"/>
      <c r="K64" s="663"/>
      <c r="L64" s="663"/>
      <c r="M64" s="663"/>
      <c r="N64" s="663"/>
      <c r="O64" s="663"/>
      <c r="P64" s="663"/>
      <c r="U64" s="338"/>
      <c r="V64" s="338"/>
      <c r="W64" s="338"/>
    </row>
    <row r="65" spans="1:23" x14ac:dyDescent="0.25">
      <c r="A65" s="338"/>
      <c r="U65" s="338"/>
      <c r="V65" s="338"/>
      <c r="W65" s="338"/>
    </row>
    <row r="66" spans="1:23" x14ac:dyDescent="0.25">
      <c r="A66" s="338"/>
      <c r="U66" s="338"/>
      <c r="V66" s="338"/>
      <c r="W66" s="338"/>
    </row>
    <row r="67" spans="1:23" x14ac:dyDescent="0.25">
      <c r="A67" s="338"/>
      <c r="U67" s="338"/>
      <c r="V67" s="338"/>
      <c r="W67" s="338"/>
    </row>
    <row r="68" spans="1:23" x14ac:dyDescent="0.25">
      <c r="A68" s="338"/>
      <c r="U68" s="338"/>
      <c r="V68" s="338"/>
      <c r="W68" s="338"/>
    </row>
    <row r="69" spans="1:23" x14ac:dyDescent="0.25">
      <c r="A69" s="338"/>
      <c r="U69" s="338"/>
      <c r="V69" s="338"/>
      <c r="W69" s="338"/>
    </row>
    <row r="189" spans="2:44" x14ac:dyDescent="0.25">
      <c r="B189" s="2225"/>
      <c r="C189" s="2225"/>
      <c r="D189" s="2225"/>
      <c r="E189" s="2225"/>
      <c r="F189" s="2225"/>
      <c r="G189" s="2225"/>
      <c r="H189" s="2225"/>
      <c r="I189" s="2225"/>
      <c r="J189" s="2225"/>
      <c r="K189" s="2225"/>
      <c r="L189" s="2225"/>
      <c r="N189" s="663"/>
      <c r="O189" s="663"/>
      <c r="P189" s="663"/>
      <c r="Q189" s="663"/>
      <c r="R189" s="663"/>
      <c r="S189" s="663"/>
      <c r="AH189" s="291"/>
      <c r="AI189" s="291"/>
      <c r="AJ189" s="291"/>
      <c r="AK189" s="291"/>
      <c r="AL189" s="291"/>
      <c r="AM189" s="291"/>
      <c r="AN189" s="291"/>
      <c r="AO189" s="291"/>
      <c r="AP189" s="291"/>
      <c r="AQ189" s="291"/>
      <c r="AR189" s="291"/>
    </row>
    <row r="190" spans="2:44" x14ac:dyDescent="0.25">
      <c r="N190" s="663"/>
      <c r="O190" s="663"/>
      <c r="P190" s="663"/>
      <c r="Q190" s="663"/>
      <c r="R190" s="663"/>
      <c r="S190" s="663"/>
      <c r="AH190" s="291"/>
      <c r="AI190" s="291"/>
      <c r="AJ190" s="291"/>
      <c r="AK190" s="291"/>
      <c r="AL190" s="291"/>
      <c r="AM190" s="291"/>
      <c r="AN190" s="291"/>
      <c r="AO190" s="291"/>
      <c r="AP190" s="291"/>
      <c r="AQ190" s="291"/>
      <c r="AR190" s="291"/>
    </row>
    <row r="191" spans="2:44" x14ac:dyDescent="0.25">
      <c r="N191" s="663"/>
      <c r="O191" s="663"/>
      <c r="P191" s="663"/>
      <c r="Q191" s="663"/>
      <c r="R191" s="663"/>
      <c r="S191" s="663"/>
      <c r="AH191" s="291"/>
      <c r="AI191" s="291"/>
      <c r="AJ191" s="291"/>
      <c r="AK191" s="291"/>
      <c r="AL191" s="291"/>
      <c r="AM191" s="291"/>
      <c r="AN191" s="291"/>
      <c r="AO191" s="291"/>
      <c r="AP191" s="291"/>
      <c r="AQ191" s="291"/>
      <c r="AR191" s="291"/>
    </row>
  </sheetData>
  <mergeCells count="2">
    <mergeCell ref="N2:P2"/>
    <mergeCell ref="B2:M2"/>
  </mergeCells>
  <phoneticPr fontId="4" type="noConversion"/>
  <pageMargins left="0.75" right="0.75" top="1" bottom="1" header="0.5" footer="0.5"/>
  <pageSetup scale="57"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enableFormatConditionsCalculation="0">
    <tabColor indexed="42"/>
    <pageSetUpPr fitToPage="1"/>
  </sheetPr>
  <dimension ref="A1:O42"/>
  <sheetViews>
    <sheetView showGridLines="0" tabSelected="1" workbookViewId="0">
      <pane xSplit="1" ySplit="3" topLeftCell="E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4.42578125" style="148" customWidth="1"/>
    <col min="3" max="11" width="9.28515625" style="148" customWidth="1"/>
    <col min="12" max="12" width="8.7109375" style="148" customWidth="1"/>
    <col min="13" max="15" width="7.7109375" style="148" customWidth="1"/>
    <col min="16" max="16384" width="9.140625" style="148"/>
  </cols>
  <sheetData>
    <row r="1" spans="1:11" ht="13.5" customHeight="1" x14ac:dyDescent="0.25">
      <c r="A1" s="146" t="str">
        <f>muni&amp;" - "&amp; TableA31</f>
        <v>NC071 Ubuntu - NOT REQUIRED - municipality does not have entities</v>
      </c>
      <c r="B1" s="146"/>
      <c r="C1" s="146"/>
      <c r="D1" s="146"/>
      <c r="E1" s="146"/>
      <c r="F1" s="146"/>
      <c r="G1" s="146"/>
      <c r="H1" s="146"/>
      <c r="I1" s="146"/>
      <c r="J1" s="146"/>
      <c r="K1" s="146"/>
    </row>
    <row r="2" spans="1:11" ht="28.5" customHeight="1" x14ac:dyDescent="0.25">
      <c r="A2" s="802" t="str">
        <f>desc</f>
        <v>Description</v>
      </c>
      <c r="B2" s="2759" t="str">
        <f>head27</f>
        <v>Ref</v>
      </c>
      <c r="C2" s="709" t="str">
        <f>head1b</f>
        <v>2008/9</v>
      </c>
      <c r="D2" s="634" t="str">
        <f>head1A</f>
        <v>2009/10</v>
      </c>
      <c r="E2" s="145" t="str">
        <f>Head1</f>
        <v>2010/11</v>
      </c>
      <c r="F2" s="2700" t="str">
        <f>Head2</f>
        <v>Current Year 2011/12</v>
      </c>
      <c r="G2" s="2701"/>
      <c r="H2" s="2705"/>
      <c r="I2" s="2697" t="str">
        <f>Head3</f>
        <v>2012/13 Medium Term Revenue &amp; Expenditure Framework</v>
      </c>
      <c r="J2" s="2698"/>
      <c r="K2" s="2699"/>
    </row>
    <row r="3" spans="1:11" ht="25.5" x14ac:dyDescent="0.25">
      <c r="A3" s="179" t="s">
        <v>666</v>
      </c>
      <c r="B3" s="2760"/>
      <c r="C3" s="789" t="str">
        <f>Head5</f>
        <v>Audited Outcome</v>
      </c>
      <c r="D3" s="799" t="str">
        <f>Head5</f>
        <v>Audited Outcome</v>
      </c>
      <c r="E3" s="354" t="str">
        <f>Head5</f>
        <v>Audited Outcome</v>
      </c>
      <c r="F3" s="283" t="str">
        <f>Head6</f>
        <v>Original Budget</v>
      </c>
      <c r="G3" s="353" t="str">
        <f>Head7</f>
        <v>Adjusted Budget</v>
      </c>
      <c r="H3" s="354" t="str">
        <f>Head8</f>
        <v>Full Year Forecast</v>
      </c>
      <c r="I3" s="283" t="str">
        <f>Head9</f>
        <v>Budget Year 2012/13</v>
      </c>
      <c r="J3" s="353" t="str">
        <f>Head10</f>
        <v>Budget Year +1 2013/14</v>
      </c>
      <c r="K3" s="354" t="str">
        <f>Head11</f>
        <v>Budget Year +2 2014/15</v>
      </c>
    </row>
    <row r="4" spans="1:11" ht="12.75" customHeight="1" x14ac:dyDescent="0.25">
      <c r="A4" s="732" t="s">
        <v>1374</v>
      </c>
      <c r="B4" s="244"/>
      <c r="C4" s="711"/>
      <c r="D4" s="162"/>
      <c r="E4" s="163"/>
      <c r="F4" s="161"/>
      <c r="G4" s="162"/>
      <c r="H4" s="527"/>
      <c r="I4" s="711"/>
      <c r="J4" s="162"/>
      <c r="K4" s="163"/>
    </row>
    <row r="5" spans="1:11" x14ac:dyDescent="0.25">
      <c r="A5" s="713" t="str">
        <f>'A1-Sum'!A5</f>
        <v>Property rates</v>
      </c>
      <c r="B5" s="245"/>
      <c r="C5" s="1479"/>
      <c r="D5" s="1405"/>
      <c r="E5" s="1406"/>
      <c r="F5" s="1407"/>
      <c r="G5" s="1405"/>
      <c r="H5" s="1409"/>
      <c r="I5" s="1479"/>
      <c r="J5" s="1405"/>
      <c r="K5" s="1406"/>
    </row>
    <row r="6" spans="1:11" x14ac:dyDescent="0.25">
      <c r="A6" s="713" t="str">
        <f>'A1-Sum'!A6</f>
        <v>Service charges</v>
      </c>
      <c r="B6" s="245"/>
      <c r="C6" s="1479"/>
      <c r="D6" s="1405"/>
      <c r="E6" s="1406"/>
      <c r="F6" s="1407"/>
      <c r="G6" s="1405"/>
      <c r="H6" s="1409"/>
      <c r="I6" s="1479"/>
      <c r="J6" s="1405"/>
      <c r="K6" s="1406"/>
    </row>
    <row r="7" spans="1:11" x14ac:dyDescent="0.25">
      <c r="A7" s="713" t="str">
        <f>'A1-Sum'!A7</f>
        <v>Investment revenue</v>
      </c>
      <c r="B7" s="245"/>
      <c r="C7" s="1479"/>
      <c r="D7" s="1405"/>
      <c r="E7" s="1406"/>
      <c r="F7" s="1407"/>
      <c r="G7" s="1405"/>
      <c r="H7" s="1409"/>
      <c r="I7" s="1479"/>
      <c r="J7" s="1405"/>
      <c r="K7" s="1406"/>
    </row>
    <row r="8" spans="1:11" x14ac:dyDescent="0.25">
      <c r="A8" s="713" t="str">
        <f>'A1-Sum'!A8</f>
        <v>Transfers recognised - operational</v>
      </c>
      <c r="B8" s="245"/>
      <c r="C8" s="1479"/>
      <c r="D8" s="1405"/>
      <c r="E8" s="1406"/>
      <c r="F8" s="1407"/>
      <c r="G8" s="1405"/>
      <c r="H8" s="1409"/>
      <c r="I8" s="1479"/>
      <c r="J8" s="1405"/>
      <c r="K8" s="1406"/>
    </row>
    <row r="9" spans="1:11" x14ac:dyDescent="0.25">
      <c r="A9" s="713" t="str">
        <f>'A1-Sum'!A9</f>
        <v>Other own revenue</v>
      </c>
      <c r="B9" s="245"/>
      <c r="C9" s="1479"/>
      <c r="D9" s="1405"/>
      <c r="E9" s="1406"/>
      <c r="F9" s="1407"/>
      <c r="G9" s="1405"/>
      <c r="H9" s="1409"/>
      <c r="I9" s="1479"/>
      <c r="J9" s="1405"/>
      <c r="K9" s="1406"/>
    </row>
    <row r="10" spans="1:11" x14ac:dyDescent="0.25">
      <c r="A10" s="713" t="str">
        <f>'A1-Sum'!A21</f>
        <v>Contributions recognised - capital &amp; contributed assets</v>
      </c>
      <c r="B10" s="245"/>
      <c r="C10" s="1479"/>
      <c r="D10" s="1405"/>
      <c r="E10" s="1406"/>
      <c r="F10" s="1407"/>
      <c r="G10" s="1405"/>
      <c r="H10" s="1409"/>
      <c r="I10" s="1479"/>
      <c r="J10" s="1405"/>
      <c r="K10" s="1406"/>
    </row>
    <row r="11" spans="1:11" x14ac:dyDescent="0.25">
      <c r="A11" s="714" t="str">
        <f>'A4-FinPerf RE'!A22</f>
        <v>Total Revenue (excluding capital transfers and contributions)</v>
      </c>
      <c r="B11" s="257"/>
      <c r="C11" s="715">
        <f>SUM(C5:C10)</f>
        <v>0</v>
      </c>
      <c r="D11" s="525">
        <f>SUM(D5:D10)</f>
        <v>0</v>
      </c>
      <c r="E11" s="526">
        <f t="shared" ref="E11:K11" si="0">SUM(E5:E10)</f>
        <v>0</v>
      </c>
      <c r="F11" s="716">
        <f t="shared" si="0"/>
        <v>0</v>
      </c>
      <c r="G11" s="525">
        <f t="shared" si="0"/>
        <v>0</v>
      </c>
      <c r="H11" s="717">
        <f t="shared" si="0"/>
        <v>0</v>
      </c>
      <c r="I11" s="715">
        <f t="shared" si="0"/>
        <v>0</v>
      </c>
      <c r="J11" s="525">
        <f t="shared" si="0"/>
        <v>0</v>
      </c>
      <c r="K11" s="526">
        <f t="shared" si="0"/>
        <v>0</v>
      </c>
    </row>
    <row r="12" spans="1:11" x14ac:dyDescent="0.25">
      <c r="A12" s="713" t="str">
        <f>'A1-Sum'!A11</f>
        <v>Employee costs</v>
      </c>
      <c r="B12" s="245"/>
      <c r="C12" s="1479"/>
      <c r="D12" s="1405"/>
      <c r="E12" s="1406"/>
      <c r="F12" s="1407"/>
      <c r="G12" s="1405"/>
      <c r="H12" s="1409"/>
      <c r="I12" s="1479"/>
      <c r="J12" s="1405"/>
      <c r="K12" s="1406"/>
    </row>
    <row r="13" spans="1:11" x14ac:dyDescent="0.25">
      <c r="A13" s="713" t="s">
        <v>957</v>
      </c>
      <c r="B13" s="245"/>
      <c r="C13" s="1479"/>
      <c r="D13" s="1405"/>
      <c r="E13" s="1406"/>
      <c r="F13" s="1407"/>
      <c r="G13" s="1405"/>
      <c r="H13" s="1409"/>
      <c r="I13" s="1479"/>
      <c r="J13" s="1405"/>
      <c r="K13" s="1406"/>
    </row>
    <row r="14" spans="1:11" x14ac:dyDescent="0.25">
      <c r="A14" s="713" t="str">
        <f>'A1-Sum'!A13</f>
        <v>Depreciation &amp; asset impairment</v>
      </c>
      <c r="B14" s="245"/>
      <c r="C14" s="1479"/>
      <c r="D14" s="1405"/>
      <c r="E14" s="1406"/>
      <c r="F14" s="1407"/>
      <c r="G14" s="1405"/>
      <c r="H14" s="1409"/>
      <c r="I14" s="1479"/>
      <c r="J14" s="1405"/>
      <c r="K14" s="1406"/>
    </row>
    <row r="15" spans="1:11" x14ac:dyDescent="0.25">
      <c r="A15" s="713" t="str">
        <f>'A1-Sum'!A14</f>
        <v>Finance charges</v>
      </c>
      <c r="B15" s="245"/>
      <c r="C15" s="1479"/>
      <c r="D15" s="1405"/>
      <c r="E15" s="1406"/>
      <c r="F15" s="1407"/>
      <c r="G15" s="1405"/>
      <c r="H15" s="1409"/>
      <c r="I15" s="1479"/>
      <c r="J15" s="1405"/>
      <c r="K15" s="1406"/>
    </row>
    <row r="16" spans="1:11" x14ac:dyDescent="0.25">
      <c r="A16" s="713" t="str">
        <f>'A1-Sum'!A15</f>
        <v>Materials and bulk purchases</v>
      </c>
      <c r="B16" s="245"/>
      <c r="C16" s="1479"/>
      <c r="D16" s="1405"/>
      <c r="E16" s="1406"/>
      <c r="F16" s="1407"/>
      <c r="G16" s="1405"/>
      <c r="H16" s="1409"/>
      <c r="I16" s="1479"/>
      <c r="J16" s="1405"/>
      <c r="K16" s="1406"/>
    </row>
    <row r="17" spans="1:12" x14ac:dyDescent="0.25">
      <c r="A17" s="713" t="str">
        <f>'A1-Sum'!A16</f>
        <v>Transfers and grants</v>
      </c>
      <c r="B17" s="245"/>
      <c r="C17" s="1479"/>
      <c r="D17" s="1405"/>
      <c r="E17" s="1406"/>
      <c r="F17" s="1407"/>
      <c r="G17" s="1405"/>
      <c r="H17" s="1409"/>
      <c r="I17" s="1479"/>
      <c r="J17" s="1405"/>
      <c r="K17" s="1406"/>
    </row>
    <row r="18" spans="1:12" x14ac:dyDescent="0.25">
      <c r="A18" s="713" t="str">
        <f>'A1-Sum'!A17</f>
        <v>Other expenditure</v>
      </c>
      <c r="B18" s="245"/>
      <c r="C18" s="1479"/>
      <c r="D18" s="1405"/>
      <c r="E18" s="1406"/>
      <c r="F18" s="1407"/>
      <c r="G18" s="1405"/>
      <c r="H18" s="1409"/>
      <c r="I18" s="1479"/>
      <c r="J18" s="1405"/>
      <c r="K18" s="1406"/>
    </row>
    <row r="19" spans="1:12" x14ac:dyDescent="0.25">
      <c r="A19" s="714" t="str">
        <f>'A4-FinPerf RE'!A36</f>
        <v>Total Expenditure</v>
      </c>
      <c r="B19" s="257"/>
      <c r="C19" s="718">
        <f>SUM(C12:C18)</f>
        <v>0</v>
      </c>
      <c r="D19" s="719">
        <f t="shared" ref="D19:K19" si="1">SUM(D12:D18)</f>
        <v>0</v>
      </c>
      <c r="E19" s="720">
        <f t="shared" si="1"/>
        <v>0</v>
      </c>
      <c r="F19" s="721">
        <f t="shared" si="1"/>
        <v>0</v>
      </c>
      <c r="G19" s="719">
        <f t="shared" si="1"/>
        <v>0</v>
      </c>
      <c r="H19" s="722">
        <f t="shared" si="1"/>
        <v>0</v>
      </c>
      <c r="I19" s="718">
        <f t="shared" si="1"/>
        <v>0</v>
      </c>
      <c r="J19" s="719">
        <f t="shared" si="1"/>
        <v>0</v>
      </c>
      <c r="K19" s="720">
        <f t="shared" si="1"/>
        <v>0</v>
      </c>
    </row>
    <row r="20" spans="1:12" x14ac:dyDescent="0.25">
      <c r="A20" s="714" t="str">
        <f>'A4-FinPerf RE'!A38</f>
        <v>Surplus/(Deficit)</v>
      </c>
      <c r="B20" s="257"/>
      <c r="C20" s="723">
        <f>C11-C19</f>
        <v>0</v>
      </c>
      <c r="D20" s="528">
        <f t="shared" ref="D20:K20" si="2">D11-D19</f>
        <v>0</v>
      </c>
      <c r="E20" s="529">
        <f t="shared" si="2"/>
        <v>0</v>
      </c>
      <c r="F20" s="724">
        <f t="shared" si="2"/>
        <v>0</v>
      </c>
      <c r="G20" s="528">
        <f t="shared" si="2"/>
        <v>0</v>
      </c>
      <c r="H20" s="725">
        <f t="shared" si="2"/>
        <v>0</v>
      </c>
      <c r="I20" s="723">
        <f t="shared" si="2"/>
        <v>0</v>
      </c>
      <c r="J20" s="528">
        <f t="shared" si="2"/>
        <v>0</v>
      </c>
      <c r="K20" s="529">
        <f t="shared" si="2"/>
        <v>0</v>
      </c>
    </row>
    <row r="21" spans="1:12" ht="6" customHeight="1" x14ac:dyDescent="0.25">
      <c r="A21" s="726"/>
      <c r="B21" s="349"/>
      <c r="C21" s="727"/>
      <c r="D21" s="728"/>
      <c r="E21" s="729"/>
      <c r="F21" s="730"/>
      <c r="G21" s="728"/>
      <c r="H21" s="731"/>
      <c r="I21" s="727"/>
      <c r="J21" s="728"/>
      <c r="K21" s="729"/>
    </row>
    <row r="22" spans="1:12" ht="12.75" customHeight="1" x14ac:dyDescent="0.25">
      <c r="A22" s="732" t="s">
        <v>1072</v>
      </c>
      <c r="B22" s="244"/>
      <c r="C22" s="711"/>
      <c r="D22" s="162"/>
      <c r="E22" s="163"/>
      <c r="F22" s="161"/>
      <c r="G22" s="162"/>
      <c r="H22" s="527"/>
      <c r="I22" s="711"/>
      <c r="J22" s="162"/>
      <c r="K22" s="163"/>
    </row>
    <row r="23" spans="1:12" x14ac:dyDescent="0.25">
      <c r="A23" s="733" t="s">
        <v>1516</v>
      </c>
      <c r="B23" s="342"/>
      <c r="C23" s="1480"/>
      <c r="D23" s="1481"/>
      <c r="E23" s="1482"/>
      <c r="F23" s="1483"/>
      <c r="G23" s="1481"/>
      <c r="H23" s="1484"/>
      <c r="I23" s="1480"/>
      <c r="J23" s="1481"/>
      <c r="K23" s="1482"/>
      <c r="L23" s="241"/>
    </row>
    <row r="24" spans="1:12" x14ac:dyDescent="0.25">
      <c r="A24" s="713" t="str">
        <f>A8</f>
        <v>Transfers recognised - operational</v>
      </c>
      <c r="B24" s="245"/>
      <c r="C24" s="1479"/>
      <c r="D24" s="1405"/>
      <c r="E24" s="1406"/>
      <c r="F24" s="1407"/>
      <c r="G24" s="1405"/>
      <c r="H24" s="1409"/>
      <c r="I24" s="1479"/>
      <c r="J24" s="1405"/>
      <c r="K24" s="1406"/>
      <c r="L24" s="734"/>
    </row>
    <row r="25" spans="1:12" x14ac:dyDescent="0.25">
      <c r="A25" s="713" t="str">
        <f>'A5-Capex'!A71</f>
        <v>Public contributions &amp; donations</v>
      </c>
      <c r="B25" s="245"/>
      <c r="C25" s="1479"/>
      <c r="D25" s="1405"/>
      <c r="E25" s="1406"/>
      <c r="F25" s="1407"/>
      <c r="G25" s="1405"/>
      <c r="H25" s="1409"/>
      <c r="I25" s="1479"/>
      <c r="J25" s="1405"/>
      <c r="K25" s="1406"/>
      <c r="L25" s="734"/>
    </row>
    <row r="26" spans="1:12" x14ac:dyDescent="0.25">
      <c r="A26" s="713" t="str">
        <f>'A5-Capex'!A72</f>
        <v>Borrowing</v>
      </c>
      <c r="B26" s="245"/>
      <c r="C26" s="1479"/>
      <c r="D26" s="1405"/>
      <c r="E26" s="1406"/>
      <c r="F26" s="1407"/>
      <c r="G26" s="1405"/>
      <c r="H26" s="1409"/>
      <c r="I26" s="1479"/>
      <c r="J26" s="1405"/>
      <c r="K26" s="1406"/>
      <c r="L26" s="734"/>
    </row>
    <row r="27" spans="1:12" x14ac:dyDescent="0.25">
      <c r="A27" s="713" t="str">
        <f>'A5-Capex'!A73</f>
        <v>Internally generated funds</v>
      </c>
      <c r="B27" s="245"/>
      <c r="C27" s="1479"/>
      <c r="D27" s="1405"/>
      <c r="E27" s="1406"/>
      <c r="F27" s="1407"/>
      <c r="G27" s="1405"/>
      <c r="H27" s="1409"/>
      <c r="I27" s="1479"/>
      <c r="J27" s="1405"/>
      <c r="K27" s="1406"/>
      <c r="L27" s="734"/>
    </row>
    <row r="28" spans="1:12" x14ac:dyDescent="0.25">
      <c r="A28" s="172" t="s">
        <v>934</v>
      </c>
      <c r="B28" s="685"/>
      <c r="C28" s="715">
        <f t="shared" ref="C28:K28" si="3">SUM(C24:C27)</f>
        <v>0</v>
      </c>
      <c r="D28" s="525">
        <f t="shared" si="3"/>
        <v>0</v>
      </c>
      <c r="E28" s="526">
        <f t="shared" si="3"/>
        <v>0</v>
      </c>
      <c r="F28" s="716">
        <f t="shared" si="3"/>
        <v>0</v>
      </c>
      <c r="G28" s="525">
        <f t="shared" si="3"/>
        <v>0</v>
      </c>
      <c r="H28" s="717">
        <f t="shared" si="3"/>
        <v>0</v>
      </c>
      <c r="I28" s="715">
        <f t="shared" si="3"/>
        <v>0</v>
      </c>
      <c r="J28" s="525">
        <f t="shared" si="3"/>
        <v>0</v>
      </c>
      <c r="K28" s="526">
        <f t="shared" si="3"/>
        <v>0</v>
      </c>
    </row>
    <row r="29" spans="1:12" ht="6" customHeight="1" x14ac:dyDescent="0.25">
      <c r="A29" s="714"/>
      <c r="B29" s="257"/>
      <c r="C29" s="723"/>
      <c r="D29" s="528"/>
      <c r="E29" s="529"/>
      <c r="F29" s="724"/>
      <c r="G29" s="528"/>
      <c r="H29" s="725"/>
      <c r="I29" s="723"/>
      <c r="J29" s="528"/>
      <c r="K29" s="529"/>
    </row>
    <row r="30" spans="1:12" ht="12.75" customHeight="1" x14ac:dyDescent="0.25">
      <c r="A30" s="710" t="s">
        <v>203</v>
      </c>
      <c r="B30" s="680"/>
      <c r="C30" s="712"/>
      <c r="D30" s="735"/>
      <c r="E30" s="736"/>
      <c r="F30" s="737"/>
      <c r="G30" s="735"/>
      <c r="H30" s="738"/>
      <c r="I30" s="712"/>
      <c r="J30" s="735"/>
      <c r="K30" s="736"/>
    </row>
    <row r="31" spans="1:12" x14ac:dyDescent="0.25">
      <c r="A31" s="713" t="str">
        <f>'A6-FinPos'!A12</f>
        <v>Total current assets</v>
      </c>
      <c r="B31" s="245"/>
      <c r="C31" s="1479"/>
      <c r="D31" s="1405"/>
      <c r="E31" s="1406"/>
      <c r="F31" s="1407"/>
      <c r="G31" s="1405"/>
      <c r="H31" s="1409"/>
      <c r="I31" s="1479"/>
      <c r="J31" s="1405"/>
      <c r="K31" s="1406"/>
    </row>
    <row r="32" spans="1:12" x14ac:dyDescent="0.25">
      <c r="A32" s="713" t="str">
        <f>'A6-FinPos'!A24</f>
        <v>Total non current assets</v>
      </c>
      <c r="B32" s="245"/>
      <c r="C32" s="1479"/>
      <c r="D32" s="1405"/>
      <c r="E32" s="1406"/>
      <c r="F32" s="1407"/>
      <c r="G32" s="1405"/>
      <c r="H32" s="1409"/>
      <c r="I32" s="1479"/>
      <c r="J32" s="1405"/>
      <c r="K32" s="1406"/>
    </row>
    <row r="33" spans="1:15" x14ac:dyDescent="0.25">
      <c r="A33" s="713" t="str">
        <f>'A6-FinPos'!A34</f>
        <v>Total current liabilities</v>
      </c>
      <c r="B33" s="245"/>
      <c r="C33" s="1479"/>
      <c r="D33" s="1405"/>
      <c r="E33" s="1406"/>
      <c r="F33" s="1407"/>
      <c r="G33" s="1405"/>
      <c r="H33" s="1409"/>
      <c r="I33" s="1479"/>
      <c r="J33" s="1405"/>
      <c r="K33" s="1406"/>
    </row>
    <row r="34" spans="1:15" x14ac:dyDescent="0.25">
      <c r="A34" s="713" t="str">
        <f>'A6-FinPos'!A39</f>
        <v>Total non current liabilities</v>
      </c>
      <c r="B34" s="245"/>
      <c r="C34" s="1479"/>
      <c r="D34" s="1405"/>
      <c r="E34" s="1406"/>
      <c r="F34" s="1407"/>
      <c r="G34" s="1405"/>
      <c r="H34" s="1409"/>
      <c r="I34" s="1479"/>
      <c r="J34" s="1405"/>
      <c r="K34" s="1406"/>
    </row>
    <row r="35" spans="1:15" x14ac:dyDescent="0.25">
      <c r="A35" s="713" t="s">
        <v>616</v>
      </c>
      <c r="B35" s="245"/>
      <c r="C35" s="1479"/>
      <c r="D35" s="1405"/>
      <c r="E35" s="1406"/>
      <c r="F35" s="1407"/>
      <c r="G35" s="1405"/>
      <c r="H35" s="1409"/>
      <c r="I35" s="1479"/>
      <c r="J35" s="1405"/>
      <c r="K35" s="1406"/>
    </row>
    <row r="36" spans="1:15" ht="6" customHeight="1" x14ac:dyDescent="0.25">
      <c r="A36" s="726"/>
      <c r="B36" s="349"/>
      <c r="C36" s="727"/>
      <c r="D36" s="728"/>
      <c r="E36" s="729"/>
      <c r="F36" s="730"/>
      <c r="G36" s="728"/>
      <c r="H36" s="731"/>
      <c r="I36" s="727"/>
      <c r="J36" s="728"/>
      <c r="K36" s="729"/>
    </row>
    <row r="37" spans="1:15" ht="12.75" customHeight="1" x14ac:dyDescent="0.25">
      <c r="A37" s="732" t="s">
        <v>204</v>
      </c>
      <c r="B37" s="244"/>
      <c r="C37" s="711"/>
      <c r="D37" s="162"/>
      <c r="E37" s="163"/>
      <c r="F37" s="161"/>
      <c r="G37" s="162"/>
      <c r="H37" s="527"/>
      <c r="I37" s="711"/>
      <c r="J37" s="162"/>
      <c r="K37" s="163"/>
      <c r="O37" s="338"/>
    </row>
    <row r="38" spans="1:15" x14ac:dyDescent="0.25">
      <c r="A38" s="713" t="str">
        <f>'A1-Sum'!A42</f>
        <v>Net cash from (used) operating</v>
      </c>
      <c r="B38" s="245"/>
      <c r="C38" s="1479"/>
      <c r="D38" s="1405"/>
      <c r="E38" s="1406"/>
      <c r="F38" s="1407"/>
      <c r="G38" s="1405"/>
      <c r="H38" s="1409"/>
      <c r="I38" s="1479"/>
      <c r="J38" s="1405"/>
      <c r="K38" s="1406"/>
    </row>
    <row r="39" spans="1:15" x14ac:dyDescent="0.25">
      <c r="A39" s="713" t="str">
        <f>'A1-Sum'!A43</f>
        <v>Net cash from (used) investing</v>
      </c>
      <c r="B39" s="245"/>
      <c r="C39" s="1479"/>
      <c r="D39" s="1405"/>
      <c r="E39" s="1406"/>
      <c r="F39" s="1407"/>
      <c r="G39" s="1405"/>
      <c r="H39" s="1409"/>
      <c r="I39" s="1479"/>
      <c r="J39" s="1405"/>
      <c r="K39" s="1406"/>
    </row>
    <row r="40" spans="1:15" x14ac:dyDescent="0.25">
      <c r="A40" s="713" t="str">
        <f>'A1-Sum'!A44</f>
        <v>Net cash from (used) financing</v>
      </c>
      <c r="B40" s="245"/>
      <c r="C40" s="1479"/>
      <c r="D40" s="1405"/>
      <c r="E40" s="1406"/>
      <c r="F40" s="1407"/>
      <c r="G40" s="1405"/>
      <c r="H40" s="1409"/>
      <c r="I40" s="1479"/>
      <c r="J40" s="1405"/>
      <c r="K40" s="1406"/>
    </row>
    <row r="41" spans="1:15" x14ac:dyDescent="0.25">
      <c r="A41" s="714" t="str">
        <f>'A1-Sum'!A45</f>
        <v>Cash/cash equivalents at the year end</v>
      </c>
      <c r="B41" s="257"/>
      <c r="C41" s="1479"/>
      <c r="D41" s="1405"/>
      <c r="E41" s="1406"/>
      <c r="F41" s="1407"/>
      <c r="G41" s="1405"/>
      <c r="H41" s="1409"/>
      <c r="I41" s="1479"/>
      <c r="J41" s="1405"/>
      <c r="K41" s="1406"/>
    </row>
    <row r="42" spans="1:15" ht="6" customHeight="1" x14ac:dyDescent="0.25">
      <c r="A42" s="739"/>
      <c r="B42" s="308"/>
      <c r="C42" s="727"/>
      <c r="D42" s="728"/>
      <c r="E42" s="729"/>
      <c r="F42" s="730"/>
      <c r="G42" s="728"/>
      <c r="H42" s="731"/>
      <c r="I42" s="727"/>
      <c r="J42" s="728"/>
      <c r="K42" s="729"/>
    </row>
  </sheetData>
  <sheetProtection sheet="1" objects="1" scenarios="1"/>
  <mergeCells count="3">
    <mergeCell ref="F2:H2"/>
    <mergeCell ref="I2:K2"/>
    <mergeCell ref="B2:B3"/>
  </mergeCells>
  <phoneticPr fontId="4" type="noConversion"/>
  <pageMargins left="0.75" right="0.75" top="1" bottom="1" header="0.5" footer="0.5"/>
  <pageSetup scale="76"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enableFormatConditionsCalculation="0">
    <tabColor indexed="42"/>
    <pageSetUpPr fitToPage="1"/>
  </sheetPr>
  <dimension ref="A1:L61"/>
  <sheetViews>
    <sheetView showGridLines="0" tabSelected="1" workbookViewId="0">
      <pane xSplit="1" ySplit="3" topLeftCell="B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4.140625" style="242" bestFit="1" customWidth="1"/>
    <col min="3" max="3" width="9.28515625" style="148" customWidth="1"/>
    <col min="4" max="4" width="30.7109375" style="148" customWidth="1"/>
    <col min="5" max="5" width="13" style="148" customWidth="1"/>
    <col min="6" max="6" width="9.28515625" style="148" customWidth="1"/>
    <col min="7" max="7" width="9.85546875" style="148" customWidth="1"/>
    <col min="8" max="8" width="9.85546875" style="148" bestFit="1" customWidth="1"/>
    <col min="9" max="10" width="9.85546875" style="148" customWidth="1"/>
    <col min="11" max="11" width="9.5703125" style="148" customWidth="1"/>
    <col min="12" max="12" width="9.85546875" style="148" customWidth="1"/>
    <col min="13" max="15" width="9.5703125" style="148" customWidth="1"/>
    <col min="16" max="16" width="9.85546875" style="148" customWidth="1"/>
    <col min="17" max="19" width="9.5703125" style="148" customWidth="1"/>
    <col min="20" max="21" width="9.85546875" style="148" customWidth="1"/>
    <col min="22" max="16384" width="9.140625" style="148"/>
  </cols>
  <sheetData>
    <row r="1" spans="1:6" ht="13.5" customHeight="1" x14ac:dyDescent="0.25">
      <c r="A1" s="146" t="str">
        <f>muni&amp;" - "&amp;TableA32</f>
        <v>NC071 Ubuntu - Supporting Table SA32 List of external mechanisms</v>
      </c>
      <c r="B1" s="146"/>
      <c r="C1" s="146"/>
      <c r="D1" s="146"/>
      <c r="E1" s="146"/>
      <c r="F1" s="146"/>
    </row>
    <row r="2" spans="1:6" ht="33.75" customHeight="1" x14ac:dyDescent="0.25">
      <c r="A2" s="142" t="s">
        <v>327</v>
      </c>
      <c r="B2" s="2750" t="s">
        <v>1693</v>
      </c>
      <c r="C2" s="548" t="s">
        <v>330</v>
      </c>
      <c r="D2" s="2750" t="s">
        <v>331</v>
      </c>
      <c r="E2" s="2750" t="s">
        <v>329</v>
      </c>
      <c r="F2" s="740" t="s">
        <v>332</v>
      </c>
    </row>
    <row r="3" spans="1:6" ht="24.75" customHeight="1" x14ac:dyDescent="0.25">
      <c r="A3" s="141" t="s">
        <v>328</v>
      </c>
      <c r="B3" s="2751"/>
      <c r="C3" s="741" t="s">
        <v>1694</v>
      </c>
      <c r="D3" s="2751"/>
      <c r="E3" s="2751"/>
      <c r="F3" s="742" t="s">
        <v>667</v>
      </c>
    </row>
    <row r="4" spans="1:6" ht="11.25" customHeight="1" x14ac:dyDescent="0.25">
      <c r="A4" s="1485"/>
      <c r="B4" s="1377"/>
      <c r="C4" s="1377"/>
      <c r="D4" s="1486"/>
      <c r="E4" s="1487"/>
      <c r="F4" s="1328"/>
    </row>
    <row r="5" spans="1:6" ht="11.25" customHeight="1" x14ac:dyDescent="0.25">
      <c r="A5" s="1485"/>
      <c r="B5" s="1377"/>
      <c r="C5" s="1377"/>
      <c r="D5" s="1486"/>
      <c r="E5" s="1488"/>
      <c r="F5" s="1328"/>
    </row>
    <row r="6" spans="1:6" ht="11.25" customHeight="1" x14ac:dyDescent="0.25">
      <c r="A6" s="1485"/>
      <c r="B6" s="1377"/>
      <c r="C6" s="1377"/>
      <c r="D6" s="1486"/>
      <c r="E6" s="1487"/>
      <c r="F6" s="1328"/>
    </row>
    <row r="7" spans="1:6" ht="11.25" customHeight="1" x14ac:dyDescent="0.25">
      <c r="A7" s="1485"/>
      <c r="B7" s="1377"/>
      <c r="C7" s="1377"/>
      <c r="D7" s="1486"/>
      <c r="E7" s="1487"/>
      <c r="F7" s="1328"/>
    </row>
    <row r="8" spans="1:6" ht="11.25" customHeight="1" x14ac:dyDescent="0.25">
      <c r="A8" s="1485"/>
      <c r="B8" s="1377"/>
      <c r="C8" s="1377"/>
      <c r="D8" s="1486"/>
      <c r="E8" s="1487"/>
      <c r="F8" s="1328"/>
    </row>
    <row r="9" spans="1:6" ht="11.25" customHeight="1" x14ac:dyDescent="0.25">
      <c r="A9" s="1485"/>
      <c r="B9" s="1377"/>
      <c r="C9" s="1377"/>
      <c r="D9" s="1486"/>
      <c r="E9" s="1487"/>
      <c r="F9" s="1328"/>
    </row>
    <row r="10" spans="1:6" ht="11.25" customHeight="1" x14ac:dyDescent="0.25">
      <c r="A10" s="1485"/>
      <c r="B10" s="1377"/>
      <c r="C10" s="1377"/>
      <c r="D10" s="1486"/>
      <c r="E10" s="1487"/>
      <c r="F10" s="1328"/>
    </row>
    <row r="11" spans="1:6" ht="11.25" customHeight="1" x14ac:dyDescent="0.25">
      <c r="A11" s="1485"/>
      <c r="B11" s="1377"/>
      <c r="C11" s="1377"/>
      <c r="D11" s="1486"/>
      <c r="E11" s="1487"/>
      <c r="F11" s="1328"/>
    </row>
    <row r="12" spans="1:6" ht="11.25" customHeight="1" x14ac:dyDescent="0.25">
      <c r="A12" s="1485"/>
      <c r="B12" s="1377"/>
      <c r="C12" s="1377"/>
      <c r="D12" s="1486"/>
      <c r="E12" s="1487"/>
      <c r="F12" s="1328"/>
    </row>
    <row r="13" spans="1:6" ht="11.25" customHeight="1" x14ac:dyDescent="0.25">
      <c r="A13" s="1485"/>
      <c r="B13" s="1377"/>
      <c r="C13" s="1377"/>
      <c r="D13" s="1486"/>
      <c r="E13" s="1487"/>
      <c r="F13" s="1328"/>
    </row>
    <row r="14" spans="1:6" ht="11.25" customHeight="1" x14ac:dyDescent="0.25">
      <c r="A14" s="1485"/>
      <c r="B14" s="1377"/>
      <c r="C14" s="1377"/>
      <c r="D14" s="1486"/>
      <c r="E14" s="1487"/>
      <c r="F14" s="1328"/>
    </row>
    <row r="15" spans="1:6" ht="11.25" customHeight="1" x14ac:dyDescent="0.25">
      <c r="A15" s="1485"/>
      <c r="B15" s="1377"/>
      <c r="C15" s="1377"/>
      <c r="D15" s="1486"/>
      <c r="E15" s="1487"/>
      <c r="F15" s="1328"/>
    </row>
    <row r="16" spans="1:6" ht="11.25" customHeight="1" x14ac:dyDescent="0.25">
      <c r="A16" s="1485"/>
      <c r="B16" s="1377"/>
      <c r="C16" s="1377"/>
      <c r="D16" s="1486"/>
      <c r="E16" s="1487"/>
      <c r="F16" s="1328"/>
    </row>
    <row r="17" spans="1:12" ht="11.25" customHeight="1" x14ac:dyDescent="0.25">
      <c r="A17" s="1485"/>
      <c r="B17" s="1377"/>
      <c r="C17" s="1377"/>
      <c r="D17" s="1486"/>
      <c r="E17" s="1487"/>
      <c r="F17" s="1328"/>
    </row>
    <row r="18" spans="1:12" ht="11.25" customHeight="1" x14ac:dyDescent="0.25">
      <c r="A18" s="1485"/>
      <c r="B18" s="1377"/>
      <c r="C18" s="1377"/>
      <c r="D18" s="1486"/>
      <c r="E18" s="1487"/>
      <c r="F18" s="1328"/>
    </row>
    <row r="19" spans="1:12" ht="11.25" customHeight="1" x14ac:dyDescent="0.25">
      <c r="A19" s="1485"/>
      <c r="B19" s="1377"/>
      <c r="C19" s="1377"/>
      <c r="D19" s="1486"/>
      <c r="E19" s="1487"/>
      <c r="F19" s="1328"/>
    </row>
    <row r="20" spans="1:12" ht="11.25" customHeight="1" x14ac:dyDescent="0.25">
      <c r="A20" s="1485"/>
      <c r="B20" s="1377"/>
      <c r="C20" s="1377"/>
      <c r="D20" s="1486"/>
      <c r="E20" s="1487"/>
      <c r="F20" s="1328"/>
    </row>
    <row r="21" spans="1:12" ht="11.25" customHeight="1" x14ac:dyDescent="0.25">
      <c r="A21" s="1485"/>
      <c r="B21" s="1377"/>
      <c r="C21" s="1377"/>
      <c r="D21" s="1486"/>
      <c r="E21" s="1487"/>
      <c r="F21" s="1328"/>
    </row>
    <row r="22" spans="1:12" ht="11.25" customHeight="1" x14ac:dyDescent="0.25">
      <c r="A22" s="1485"/>
      <c r="B22" s="1377"/>
      <c r="C22" s="1377"/>
      <c r="D22" s="1486"/>
      <c r="E22" s="1487"/>
      <c r="F22" s="1328"/>
    </row>
    <row r="23" spans="1:12" x14ac:dyDescent="0.25">
      <c r="A23" s="1489"/>
      <c r="B23" s="1490"/>
      <c r="C23" s="1490"/>
      <c r="D23" s="1491"/>
      <c r="E23" s="1492"/>
      <c r="F23" s="1493"/>
    </row>
    <row r="24" spans="1:12" ht="6" customHeight="1" x14ac:dyDescent="0.25">
      <c r="A24" s="241"/>
      <c r="B24" s="232"/>
      <c r="C24" s="290"/>
      <c r="D24" s="290"/>
      <c r="E24" s="290"/>
      <c r="F24" s="290"/>
      <c r="J24" s="241"/>
      <c r="K24" s="241"/>
      <c r="L24" s="241"/>
    </row>
    <row r="25" spans="1:12" s="625" customFormat="1" x14ac:dyDescent="0.25">
      <c r="A25" s="995" t="str">
        <f>head27a</f>
        <v>References</v>
      </c>
      <c r="B25" s="837"/>
      <c r="C25" s="867"/>
      <c r="D25" s="867"/>
      <c r="E25" s="867"/>
      <c r="F25" s="867"/>
      <c r="J25" s="850"/>
      <c r="K25" s="850"/>
      <c r="L25" s="850"/>
    </row>
    <row r="26" spans="1:12" s="625" customFormat="1" ht="11.25" customHeight="1" x14ac:dyDescent="0.25">
      <c r="A26" s="962" t="s">
        <v>395</v>
      </c>
      <c r="B26" s="837"/>
      <c r="C26" s="841"/>
      <c r="D26" s="840"/>
      <c r="E26" s="841"/>
      <c r="F26" s="841"/>
    </row>
    <row r="27" spans="1:12" s="625" customFormat="1" ht="11.25" customHeight="1" x14ac:dyDescent="0.25">
      <c r="A27" s="962" t="s">
        <v>333</v>
      </c>
      <c r="B27" s="837"/>
      <c r="C27" s="867"/>
      <c r="D27" s="867"/>
      <c r="E27" s="867"/>
      <c r="F27" s="867"/>
    </row>
    <row r="28" spans="1:12" ht="11.25" customHeight="1" x14ac:dyDescent="0.25"/>
    <row r="29" spans="1:12" ht="11.25" customHeight="1" x14ac:dyDescent="0.25"/>
    <row r="30" spans="1:12" ht="11.25" customHeight="1" x14ac:dyDescent="0.25"/>
    <row r="31" spans="1:12" ht="11.25" customHeight="1" x14ac:dyDescent="0.25"/>
    <row r="32" spans="1:12"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38" ht="11.25" customHeight="1" x14ac:dyDescent="0.25"/>
    <row r="39"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sheetData>
  <sheetProtection sheet="1" objects="1" scenarios="1"/>
  <mergeCells count="3">
    <mergeCell ref="D2:D3"/>
    <mergeCell ref="E2:E3"/>
    <mergeCell ref="B2:B3"/>
  </mergeCells>
  <phoneticPr fontId="4" type="noConversion"/>
  <dataValidations count="1">
    <dataValidation type="list" allowBlank="1" showInputMessage="1" showErrorMessage="1" promptTitle="Selection" prompt="Select period description" sqref="B4:B23">
      <formula1>List8</formula1>
    </dataValidation>
  </dataValidations>
  <pageMargins left="0.75" right="0.75" top="1" bottom="1" header="0.5" footer="0.5"/>
  <pageSetup scale="93" orientation="portrait"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enableFormatConditionsCalculation="0">
    <tabColor indexed="42"/>
    <pageSetUpPr fitToPage="1"/>
  </sheetPr>
  <dimension ref="A1:O83"/>
  <sheetViews>
    <sheetView showGridLines="0" tabSelected="1" workbookViewId="0">
      <pane xSplit="2" ySplit="3" topLeftCell="C32"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7" width="9.28515625" style="148" customWidth="1"/>
    <col min="8" max="15" width="8.28515625" style="148" customWidth="1"/>
    <col min="16" max="17" width="9.5703125" style="148" customWidth="1"/>
    <col min="18" max="19" width="9.85546875" style="148" customWidth="1"/>
    <col min="20" max="16384" width="9.140625" style="148"/>
  </cols>
  <sheetData>
    <row r="1" spans="1:15" ht="13.5" customHeight="1" x14ac:dyDescent="0.25">
      <c r="A1" s="146" t="str">
        <f>muni&amp;" - "&amp; TableA33</f>
        <v>NC071 Ubuntu - Supporting Table SA33 Contracts having future budgetary implications</v>
      </c>
      <c r="B1" s="146"/>
      <c r="C1" s="146"/>
      <c r="D1" s="146"/>
      <c r="E1" s="146"/>
      <c r="F1" s="146"/>
      <c r="G1" s="146"/>
      <c r="H1" s="146"/>
      <c r="I1" s="146"/>
      <c r="J1" s="146"/>
      <c r="K1" s="146"/>
      <c r="L1" s="146"/>
      <c r="M1" s="146"/>
      <c r="N1" s="146"/>
      <c r="O1" s="146"/>
    </row>
    <row r="2" spans="1:15" ht="36" customHeight="1" x14ac:dyDescent="0.25">
      <c r="A2" s="786" t="str">
        <f>desc</f>
        <v>Description</v>
      </c>
      <c r="B2" s="379" t="str">
        <f>head27</f>
        <v>Ref</v>
      </c>
      <c r="C2" s="149" t="s">
        <v>430</v>
      </c>
      <c r="D2" s="145" t="str">
        <f>Head2</f>
        <v>Current Year 2011/12</v>
      </c>
      <c r="E2" s="2697" t="str">
        <f>Head3</f>
        <v>2012/13 Medium Term Revenue &amp; Expenditure Framework</v>
      </c>
      <c r="F2" s="2698"/>
      <c r="G2" s="2699"/>
      <c r="H2" s="143" t="str">
        <f>Head12</f>
        <v>Forecast 2015/16</v>
      </c>
      <c r="I2" s="149" t="str">
        <f>Head13</f>
        <v>Forecast 2016/17</v>
      </c>
      <c r="J2" s="149" t="str">
        <f>Head14</f>
        <v>Forecast 2017/18</v>
      </c>
      <c r="K2" s="149" t="str">
        <f>Head15</f>
        <v>Forecast 2018/19</v>
      </c>
      <c r="L2" s="149" t="str">
        <f>Head16</f>
        <v>Forecast 2019/20</v>
      </c>
      <c r="M2" s="149" t="str">
        <f>Head17</f>
        <v>Forecast 2020/21</v>
      </c>
      <c r="N2" s="145" t="str">
        <f>Head18</f>
        <v>Forecast 2021/22</v>
      </c>
      <c r="O2" s="743" t="s">
        <v>684</v>
      </c>
    </row>
    <row r="3" spans="1:15" ht="25.5" x14ac:dyDescent="0.25">
      <c r="A3" s="179" t="s">
        <v>667</v>
      </c>
      <c r="B3" s="744" t="s">
        <v>520</v>
      </c>
      <c r="C3" s="353" t="s">
        <v>776</v>
      </c>
      <c r="D3" s="354" t="str">
        <f>Head6</f>
        <v>Original Budget</v>
      </c>
      <c r="E3" s="283" t="str">
        <f>Head9</f>
        <v>Budget Year 2012/13</v>
      </c>
      <c r="F3" s="353" t="str">
        <f>Head10</f>
        <v>Budget Year +1 2013/14</v>
      </c>
      <c r="G3" s="354" t="str">
        <f>Head11</f>
        <v>Budget Year +2 2014/15</v>
      </c>
      <c r="H3" s="283" t="s">
        <v>401</v>
      </c>
      <c r="I3" s="353" t="s">
        <v>401</v>
      </c>
      <c r="J3" s="353" t="s">
        <v>401</v>
      </c>
      <c r="K3" s="353" t="s">
        <v>401</v>
      </c>
      <c r="L3" s="353" t="s">
        <v>401</v>
      </c>
      <c r="M3" s="353" t="s">
        <v>401</v>
      </c>
      <c r="N3" s="354" t="s">
        <v>401</v>
      </c>
      <c r="O3" s="803" t="s">
        <v>401</v>
      </c>
    </row>
    <row r="4" spans="1:15" x14ac:dyDescent="0.25">
      <c r="A4" s="257" t="s">
        <v>991</v>
      </c>
      <c r="B4" s="181"/>
      <c r="C4" s="292"/>
      <c r="D4" s="293"/>
      <c r="E4" s="294"/>
      <c r="F4" s="292"/>
      <c r="G4" s="295"/>
      <c r="H4" s="293"/>
      <c r="I4" s="292"/>
      <c r="J4" s="292"/>
      <c r="K4" s="292"/>
      <c r="L4" s="292"/>
      <c r="M4" s="292"/>
      <c r="N4" s="295"/>
      <c r="O4" s="380"/>
    </row>
    <row r="5" spans="1:15" x14ac:dyDescent="0.25">
      <c r="A5" s="244" t="s">
        <v>1622</v>
      </c>
      <c r="B5" s="181">
        <v>2</v>
      </c>
      <c r="C5" s="296"/>
      <c r="D5" s="297"/>
      <c r="E5" s="298"/>
      <c r="F5" s="296"/>
      <c r="G5" s="299"/>
      <c r="H5" s="297"/>
      <c r="I5" s="296"/>
      <c r="J5" s="296"/>
      <c r="K5" s="296"/>
      <c r="L5" s="296"/>
      <c r="M5" s="296"/>
      <c r="N5" s="299"/>
      <c r="O5" s="745"/>
    </row>
    <row r="6" spans="1:15" x14ac:dyDescent="0.25">
      <c r="A6" s="1460" t="s">
        <v>402</v>
      </c>
      <c r="B6" s="181"/>
      <c r="C6" s="1494"/>
      <c r="D6" s="1495"/>
      <c r="E6" s="1496"/>
      <c r="F6" s="1494"/>
      <c r="G6" s="1497"/>
      <c r="H6" s="1495"/>
      <c r="I6" s="1494"/>
      <c r="J6" s="1494"/>
      <c r="K6" s="1494"/>
      <c r="L6" s="1494"/>
      <c r="M6" s="1494"/>
      <c r="N6" s="1497"/>
      <c r="O6" s="502">
        <f>SUM(C6:N6)</f>
        <v>0</v>
      </c>
    </row>
    <row r="7" spans="1:15" x14ac:dyDescent="0.25">
      <c r="A7" s="1460" t="s">
        <v>403</v>
      </c>
      <c r="B7" s="181"/>
      <c r="C7" s="1337"/>
      <c r="D7" s="1340"/>
      <c r="E7" s="1339"/>
      <c r="F7" s="1337"/>
      <c r="G7" s="1338"/>
      <c r="H7" s="1340"/>
      <c r="I7" s="1337"/>
      <c r="J7" s="1337"/>
      <c r="K7" s="1337"/>
      <c r="L7" s="1337"/>
      <c r="M7" s="1337"/>
      <c r="N7" s="1338"/>
      <c r="O7" s="502">
        <f>SUM(C7:N7)</f>
        <v>0</v>
      </c>
    </row>
    <row r="8" spans="1:15" x14ac:dyDescent="0.25">
      <c r="A8" s="1460" t="s">
        <v>404</v>
      </c>
      <c r="B8" s="181"/>
      <c r="C8" s="1318"/>
      <c r="D8" s="1330"/>
      <c r="E8" s="1329"/>
      <c r="F8" s="1318"/>
      <c r="G8" s="1328"/>
      <c r="H8" s="1330"/>
      <c r="I8" s="1318"/>
      <c r="J8" s="1318"/>
      <c r="K8" s="1318"/>
      <c r="L8" s="1318"/>
      <c r="M8" s="1318"/>
      <c r="N8" s="1328"/>
      <c r="O8" s="502">
        <f>SUM(C8:N8)</f>
        <v>0</v>
      </c>
    </row>
    <row r="9" spans="1:15" x14ac:dyDescent="0.25">
      <c r="A9" s="257" t="s">
        <v>1350</v>
      </c>
      <c r="B9" s="181"/>
      <c r="C9" s="211">
        <f>SUM(C6:C8)</f>
        <v>0</v>
      </c>
      <c r="D9" s="210">
        <f t="shared" ref="D9:N9" si="0">SUM(D6:D8)</f>
        <v>0</v>
      </c>
      <c r="E9" s="213">
        <f t="shared" si="0"/>
        <v>0</v>
      </c>
      <c r="F9" s="211">
        <f t="shared" si="0"/>
        <v>0</v>
      </c>
      <c r="G9" s="212">
        <f t="shared" si="0"/>
        <v>0</v>
      </c>
      <c r="H9" s="210">
        <f t="shared" si="0"/>
        <v>0</v>
      </c>
      <c r="I9" s="211">
        <f t="shared" si="0"/>
        <v>0</v>
      </c>
      <c r="J9" s="211">
        <f t="shared" si="0"/>
        <v>0</v>
      </c>
      <c r="K9" s="211">
        <f t="shared" si="0"/>
        <v>0</v>
      </c>
      <c r="L9" s="211">
        <f t="shared" si="0"/>
        <v>0</v>
      </c>
      <c r="M9" s="211">
        <f t="shared" si="0"/>
        <v>0</v>
      </c>
      <c r="N9" s="212">
        <f t="shared" si="0"/>
        <v>0</v>
      </c>
      <c r="O9" s="746">
        <f>SUM(C9:N9)</f>
        <v>0</v>
      </c>
    </row>
    <row r="10" spans="1:15" ht="5.0999999999999996" customHeight="1" x14ac:dyDescent="0.25">
      <c r="A10" s="265"/>
      <c r="B10" s="181"/>
      <c r="C10" s="201"/>
      <c r="D10" s="200"/>
      <c r="E10" s="203"/>
      <c r="F10" s="201"/>
      <c r="G10" s="202"/>
      <c r="H10" s="200"/>
      <c r="I10" s="201"/>
      <c r="J10" s="201"/>
      <c r="K10" s="201"/>
      <c r="L10" s="201"/>
      <c r="M10" s="201"/>
      <c r="N10" s="202"/>
      <c r="O10" s="502"/>
    </row>
    <row r="11" spans="1:15" x14ac:dyDescent="0.25">
      <c r="A11" s="244" t="s">
        <v>992</v>
      </c>
      <c r="B11" s="181">
        <v>2</v>
      </c>
      <c r="C11" s="201"/>
      <c r="D11" s="200"/>
      <c r="E11" s="203"/>
      <c r="F11" s="201"/>
      <c r="G11" s="202"/>
      <c r="H11" s="200"/>
      <c r="I11" s="201"/>
      <c r="J11" s="201"/>
      <c r="K11" s="201"/>
      <c r="L11" s="201"/>
      <c r="M11" s="201"/>
      <c r="N11" s="202"/>
      <c r="O11" s="502"/>
    </row>
    <row r="12" spans="1:15" x14ac:dyDescent="0.25">
      <c r="A12" s="1460" t="s">
        <v>402</v>
      </c>
      <c r="B12" s="181"/>
      <c r="C12" s="1318"/>
      <c r="D12" s="1330"/>
      <c r="E12" s="1329"/>
      <c r="F12" s="1318"/>
      <c r="G12" s="1328"/>
      <c r="H12" s="1330"/>
      <c r="I12" s="1318"/>
      <c r="J12" s="1318"/>
      <c r="K12" s="1318"/>
      <c r="L12" s="1318"/>
      <c r="M12" s="1318"/>
      <c r="N12" s="1328"/>
      <c r="O12" s="502">
        <f>SUM(C12:N12)</f>
        <v>0</v>
      </c>
    </row>
    <row r="13" spans="1:15" x14ac:dyDescent="0.25">
      <c r="A13" s="1460" t="s">
        <v>403</v>
      </c>
      <c r="B13" s="181"/>
      <c r="C13" s="1318"/>
      <c r="D13" s="1330"/>
      <c r="E13" s="1329"/>
      <c r="F13" s="1318"/>
      <c r="G13" s="1328"/>
      <c r="H13" s="1330"/>
      <c r="I13" s="1318"/>
      <c r="J13" s="1318"/>
      <c r="K13" s="1318"/>
      <c r="L13" s="1318"/>
      <c r="M13" s="1318"/>
      <c r="N13" s="1328"/>
      <c r="O13" s="502">
        <f>SUM(C13:N13)</f>
        <v>0</v>
      </c>
    </row>
    <row r="14" spans="1:15" x14ac:dyDescent="0.25">
      <c r="A14" s="1460" t="s">
        <v>404</v>
      </c>
      <c r="B14" s="181"/>
      <c r="C14" s="1318"/>
      <c r="D14" s="1330"/>
      <c r="E14" s="1329"/>
      <c r="F14" s="1318"/>
      <c r="G14" s="1328"/>
      <c r="H14" s="1330"/>
      <c r="I14" s="1318"/>
      <c r="J14" s="1318"/>
      <c r="K14" s="1318"/>
      <c r="L14" s="1318"/>
      <c r="M14" s="1318"/>
      <c r="N14" s="1328"/>
      <c r="O14" s="502">
        <f>SUM(C14:N14)</f>
        <v>0</v>
      </c>
    </row>
    <row r="15" spans="1:15" x14ac:dyDescent="0.25">
      <c r="A15" s="257" t="s">
        <v>994</v>
      </c>
      <c r="B15" s="181"/>
      <c r="C15" s="371">
        <f t="shared" ref="C15:N15" si="1">SUM(C12:C14)</f>
        <v>0</v>
      </c>
      <c r="D15" s="374">
        <f t="shared" si="1"/>
        <v>0</v>
      </c>
      <c r="E15" s="373">
        <f t="shared" si="1"/>
        <v>0</v>
      </c>
      <c r="F15" s="371">
        <f t="shared" si="1"/>
        <v>0</v>
      </c>
      <c r="G15" s="372">
        <f t="shared" si="1"/>
        <v>0</v>
      </c>
      <c r="H15" s="374">
        <f t="shared" si="1"/>
        <v>0</v>
      </c>
      <c r="I15" s="371">
        <f t="shared" si="1"/>
        <v>0</v>
      </c>
      <c r="J15" s="371">
        <f t="shared" si="1"/>
        <v>0</v>
      </c>
      <c r="K15" s="371">
        <f t="shared" si="1"/>
        <v>0</v>
      </c>
      <c r="L15" s="371">
        <f t="shared" si="1"/>
        <v>0</v>
      </c>
      <c r="M15" s="371">
        <f t="shared" si="1"/>
        <v>0</v>
      </c>
      <c r="N15" s="372">
        <f t="shared" si="1"/>
        <v>0</v>
      </c>
      <c r="O15" s="746">
        <f>SUM(C15:N15)</f>
        <v>0</v>
      </c>
    </row>
    <row r="16" spans="1:15" ht="5.0999999999999996" customHeight="1" x14ac:dyDescent="0.25">
      <c r="A16" s="265"/>
      <c r="B16" s="181"/>
      <c r="C16" s="201"/>
      <c r="D16" s="200"/>
      <c r="E16" s="203"/>
      <c r="F16" s="201"/>
      <c r="G16" s="202"/>
      <c r="H16" s="200"/>
      <c r="I16" s="201"/>
      <c r="J16" s="201"/>
      <c r="K16" s="201"/>
      <c r="L16" s="201"/>
      <c r="M16" s="201"/>
      <c r="N16" s="202"/>
      <c r="O16" s="502"/>
    </row>
    <row r="17" spans="1:15" x14ac:dyDescent="0.25">
      <c r="A17" s="244" t="s">
        <v>993</v>
      </c>
      <c r="B17" s="181">
        <v>2</v>
      </c>
      <c r="C17" s="216"/>
      <c r="D17" s="215"/>
      <c r="E17" s="218"/>
      <c r="F17" s="216"/>
      <c r="G17" s="217"/>
      <c r="H17" s="215"/>
      <c r="I17" s="216"/>
      <c r="J17" s="216"/>
      <c r="K17" s="216"/>
      <c r="L17" s="216"/>
      <c r="M17" s="216"/>
      <c r="N17" s="217"/>
      <c r="O17" s="502"/>
    </row>
    <row r="18" spans="1:15" x14ac:dyDescent="0.25">
      <c r="A18" s="1460" t="s">
        <v>402</v>
      </c>
      <c r="B18" s="181"/>
      <c r="C18" s="1318"/>
      <c r="D18" s="1330"/>
      <c r="E18" s="1329"/>
      <c r="F18" s="1318"/>
      <c r="G18" s="1328"/>
      <c r="H18" s="1330"/>
      <c r="I18" s="1318"/>
      <c r="J18" s="1318"/>
      <c r="K18" s="1318"/>
      <c r="L18" s="1318"/>
      <c r="M18" s="1318"/>
      <c r="N18" s="1328"/>
      <c r="O18" s="502">
        <f>SUM(C18:N18)</f>
        <v>0</v>
      </c>
    </row>
    <row r="19" spans="1:15" x14ac:dyDescent="0.25">
      <c r="A19" s="1460" t="s">
        <v>403</v>
      </c>
      <c r="B19" s="181"/>
      <c r="C19" s="1318"/>
      <c r="D19" s="1330"/>
      <c r="E19" s="1329"/>
      <c r="F19" s="1318"/>
      <c r="G19" s="1328"/>
      <c r="H19" s="1330"/>
      <c r="I19" s="1318"/>
      <c r="J19" s="1318"/>
      <c r="K19" s="1318"/>
      <c r="L19" s="1318"/>
      <c r="M19" s="1318"/>
      <c r="N19" s="1328"/>
      <c r="O19" s="502">
        <f>SUM(C19:N19)</f>
        <v>0</v>
      </c>
    </row>
    <row r="20" spans="1:15" x14ac:dyDescent="0.25">
      <c r="A20" s="1460" t="s">
        <v>404</v>
      </c>
      <c r="B20" s="181"/>
      <c r="C20" s="1318"/>
      <c r="D20" s="1330"/>
      <c r="E20" s="1329"/>
      <c r="F20" s="1318"/>
      <c r="G20" s="1328"/>
      <c r="H20" s="1330"/>
      <c r="I20" s="1318"/>
      <c r="J20" s="1318"/>
      <c r="K20" s="1318"/>
      <c r="L20" s="1318"/>
      <c r="M20" s="1318"/>
      <c r="N20" s="1328"/>
      <c r="O20" s="502">
        <f>SUM(C20:N20)</f>
        <v>0</v>
      </c>
    </row>
    <row r="21" spans="1:15" x14ac:dyDescent="0.25">
      <c r="A21" s="257" t="s">
        <v>1433</v>
      </c>
      <c r="B21" s="181"/>
      <c r="C21" s="371">
        <f t="shared" ref="C21:N21" si="2">SUM(C18:C20)</f>
        <v>0</v>
      </c>
      <c r="D21" s="374">
        <f t="shared" si="2"/>
        <v>0</v>
      </c>
      <c r="E21" s="373">
        <f t="shared" si="2"/>
        <v>0</v>
      </c>
      <c r="F21" s="371">
        <f t="shared" si="2"/>
        <v>0</v>
      </c>
      <c r="G21" s="372">
        <f t="shared" si="2"/>
        <v>0</v>
      </c>
      <c r="H21" s="374">
        <f t="shared" si="2"/>
        <v>0</v>
      </c>
      <c r="I21" s="371">
        <f t="shared" si="2"/>
        <v>0</v>
      </c>
      <c r="J21" s="371">
        <f t="shared" si="2"/>
        <v>0</v>
      </c>
      <c r="K21" s="371">
        <f t="shared" si="2"/>
        <v>0</v>
      </c>
      <c r="L21" s="371">
        <f t="shared" si="2"/>
        <v>0</v>
      </c>
      <c r="M21" s="371">
        <f t="shared" si="2"/>
        <v>0</v>
      </c>
      <c r="N21" s="372">
        <f t="shared" si="2"/>
        <v>0</v>
      </c>
      <c r="O21" s="746">
        <f>SUM(C21:N21)</f>
        <v>0</v>
      </c>
    </row>
    <row r="22" spans="1:15" ht="5.0999999999999996" customHeight="1" x14ac:dyDescent="0.25">
      <c r="A22" s="265"/>
      <c r="B22" s="181"/>
      <c r="C22" s="201"/>
      <c r="D22" s="200"/>
      <c r="E22" s="203"/>
      <c r="F22" s="201"/>
      <c r="G22" s="202"/>
      <c r="H22" s="200"/>
      <c r="I22" s="201"/>
      <c r="J22" s="201"/>
      <c r="K22" s="201"/>
      <c r="L22" s="201"/>
      <c r="M22" s="201"/>
      <c r="N22" s="202"/>
      <c r="O22" s="502"/>
    </row>
    <row r="23" spans="1:15" x14ac:dyDescent="0.25">
      <c r="A23" s="268" t="s">
        <v>15</v>
      </c>
      <c r="B23" s="222"/>
      <c r="C23" s="227">
        <f>C15+C21</f>
        <v>0</v>
      </c>
      <c r="D23" s="228">
        <f t="shared" ref="D23:O23" si="3">D15+D21</f>
        <v>0</v>
      </c>
      <c r="E23" s="226">
        <f t="shared" si="3"/>
        <v>0</v>
      </c>
      <c r="F23" s="227">
        <f t="shared" si="3"/>
        <v>0</v>
      </c>
      <c r="G23" s="225">
        <f t="shared" si="3"/>
        <v>0</v>
      </c>
      <c r="H23" s="228">
        <f t="shared" si="3"/>
        <v>0</v>
      </c>
      <c r="I23" s="227">
        <f t="shared" si="3"/>
        <v>0</v>
      </c>
      <c r="J23" s="227">
        <f t="shared" si="3"/>
        <v>0</v>
      </c>
      <c r="K23" s="227">
        <f t="shared" si="3"/>
        <v>0</v>
      </c>
      <c r="L23" s="227">
        <f t="shared" si="3"/>
        <v>0</v>
      </c>
      <c r="M23" s="227">
        <f t="shared" si="3"/>
        <v>0</v>
      </c>
      <c r="N23" s="225">
        <f t="shared" si="3"/>
        <v>0</v>
      </c>
      <c r="O23" s="747">
        <f t="shared" si="3"/>
        <v>0</v>
      </c>
    </row>
    <row r="24" spans="1:15" ht="4.5" customHeight="1" x14ac:dyDescent="0.25">
      <c r="A24" s="244"/>
      <c r="B24" s="181"/>
      <c r="C24" s="296"/>
      <c r="D24" s="297"/>
      <c r="E24" s="298"/>
      <c r="F24" s="296"/>
      <c r="G24" s="299"/>
      <c r="H24" s="297"/>
      <c r="I24" s="296"/>
      <c r="J24" s="296"/>
      <c r="K24" s="296"/>
      <c r="L24" s="296"/>
      <c r="M24" s="296"/>
      <c r="N24" s="299"/>
      <c r="O24" s="745"/>
    </row>
    <row r="25" spans="1:15" x14ac:dyDescent="0.25">
      <c r="A25" s="257" t="s">
        <v>16</v>
      </c>
      <c r="B25" s="181"/>
      <c r="C25" s="296"/>
      <c r="D25" s="297"/>
      <c r="E25" s="298"/>
      <c r="F25" s="296"/>
      <c r="G25" s="299"/>
      <c r="H25" s="297"/>
      <c r="I25" s="296"/>
      <c r="J25" s="296"/>
      <c r="K25" s="296"/>
      <c r="L25" s="296"/>
      <c r="M25" s="296"/>
      <c r="N25" s="299"/>
      <c r="O25" s="745"/>
    </row>
    <row r="26" spans="1:15" ht="11.25" customHeight="1" x14ac:dyDescent="0.25">
      <c r="A26" s="244" t="s">
        <v>1622</v>
      </c>
      <c r="B26" s="181">
        <v>2</v>
      </c>
      <c r="C26" s="296"/>
      <c r="D26" s="297"/>
      <c r="E26" s="298"/>
      <c r="F26" s="296"/>
      <c r="G26" s="299"/>
      <c r="H26" s="297"/>
      <c r="I26" s="296"/>
      <c r="J26" s="296"/>
      <c r="K26" s="296"/>
      <c r="L26" s="296"/>
      <c r="M26" s="296"/>
      <c r="N26" s="299"/>
      <c r="O26" s="745"/>
    </row>
    <row r="27" spans="1:15" ht="11.25" customHeight="1" x14ac:dyDescent="0.25">
      <c r="A27" s="1460" t="s">
        <v>402</v>
      </c>
      <c r="B27" s="181"/>
      <c r="C27" s="1494"/>
      <c r="D27" s="1495"/>
      <c r="E27" s="1496"/>
      <c r="F27" s="1494"/>
      <c r="G27" s="1497"/>
      <c r="H27" s="1495"/>
      <c r="I27" s="1494"/>
      <c r="J27" s="1494"/>
      <c r="K27" s="1494"/>
      <c r="L27" s="1494"/>
      <c r="M27" s="1494"/>
      <c r="N27" s="1497"/>
      <c r="O27" s="502">
        <f>SUM(C27:N27)</f>
        <v>0</v>
      </c>
    </row>
    <row r="28" spans="1:15" ht="11.25" customHeight="1" x14ac:dyDescent="0.25">
      <c r="A28" s="1460" t="s">
        <v>403</v>
      </c>
      <c r="B28" s="181"/>
      <c r="C28" s="1337"/>
      <c r="D28" s="1340"/>
      <c r="E28" s="1339"/>
      <c r="F28" s="1337"/>
      <c r="G28" s="1338"/>
      <c r="H28" s="1340"/>
      <c r="I28" s="1337"/>
      <c r="J28" s="1337"/>
      <c r="K28" s="1337"/>
      <c r="L28" s="1337"/>
      <c r="M28" s="1337"/>
      <c r="N28" s="1338"/>
      <c r="O28" s="502">
        <f>SUM(C28:N28)</f>
        <v>0</v>
      </c>
    </row>
    <row r="29" spans="1:15" ht="11.25" customHeight="1" x14ac:dyDescent="0.25">
      <c r="A29" s="1460" t="s">
        <v>404</v>
      </c>
      <c r="B29" s="181"/>
      <c r="C29" s="1318"/>
      <c r="D29" s="1330"/>
      <c r="E29" s="1329"/>
      <c r="F29" s="1318"/>
      <c r="G29" s="1328"/>
      <c r="H29" s="1330"/>
      <c r="I29" s="1318"/>
      <c r="J29" s="1318"/>
      <c r="K29" s="1318"/>
      <c r="L29" s="1318"/>
      <c r="M29" s="1318"/>
      <c r="N29" s="1328"/>
      <c r="O29" s="502">
        <f>SUM(C29:N29)</f>
        <v>0</v>
      </c>
    </row>
    <row r="30" spans="1:15" ht="11.25" customHeight="1" x14ac:dyDescent="0.25">
      <c r="A30" s="257" t="s">
        <v>1350</v>
      </c>
      <c r="B30" s="181"/>
      <c r="C30" s="211">
        <f t="shared" ref="C30:N30" si="4">SUM(C27:C29)</f>
        <v>0</v>
      </c>
      <c r="D30" s="210">
        <f t="shared" si="4"/>
        <v>0</v>
      </c>
      <c r="E30" s="213">
        <f t="shared" si="4"/>
        <v>0</v>
      </c>
      <c r="F30" s="211">
        <f t="shared" si="4"/>
        <v>0</v>
      </c>
      <c r="G30" s="212">
        <f t="shared" si="4"/>
        <v>0</v>
      </c>
      <c r="H30" s="210">
        <f t="shared" si="4"/>
        <v>0</v>
      </c>
      <c r="I30" s="211">
        <f t="shared" si="4"/>
        <v>0</v>
      </c>
      <c r="J30" s="211">
        <f t="shared" si="4"/>
        <v>0</v>
      </c>
      <c r="K30" s="211">
        <f t="shared" si="4"/>
        <v>0</v>
      </c>
      <c r="L30" s="211">
        <f t="shared" si="4"/>
        <v>0</v>
      </c>
      <c r="M30" s="211">
        <f t="shared" si="4"/>
        <v>0</v>
      </c>
      <c r="N30" s="212">
        <f t="shared" si="4"/>
        <v>0</v>
      </c>
      <c r="O30" s="746">
        <f>SUM(C30:N30)</f>
        <v>0</v>
      </c>
    </row>
    <row r="31" spans="1:15" ht="5.0999999999999996" customHeight="1" x14ac:dyDescent="0.25">
      <c r="A31" s="265"/>
      <c r="B31" s="181"/>
      <c r="C31" s="201"/>
      <c r="D31" s="200"/>
      <c r="E31" s="203"/>
      <c r="F31" s="201"/>
      <c r="G31" s="202"/>
      <c r="H31" s="200"/>
      <c r="I31" s="201"/>
      <c r="J31" s="201"/>
      <c r="K31" s="201"/>
      <c r="L31" s="201"/>
      <c r="M31" s="201"/>
      <c r="N31" s="202"/>
      <c r="O31" s="502"/>
    </row>
    <row r="32" spans="1:15" ht="11.25" customHeight="1" x14ac:dyDescent="0.25">
      <c r="A32" s="244" t="s">
        <v>992</v>
      </c>
      <c r="B32" s="181">
        <v>2</v>
      </c>
      <c r="C32" s="201"/>
      <c r="D32" s="200"/>
      <c r="E32" s="203"/>
      <c r="F32" s="201"/>
      <c r="G32" s="202"/>
      <c r="H32" s="200"/>
      <c r="I32" s="201"/>
      <c r="J32" s="201"/>
      <c r="K32" s="201"/>
      <c r="L32" s="201"/>
      <c r="M32" s="201"/>
      <c r="N32" s="202"/>
      <c r="O32" s="502"/>
    </row>
    <row r="33" spans="1:15" ht="11.25" customHeight="1" x14ac:dyDescent="0.25">
      <c r="A33" s="1460" t="s">
        <v>402</v>
      </c>
      <c r="B33" s="181"/>
      <c r="C33" s="1318"/>
      <c r="D33" s="1330"/>
      <c r="E33" s="1329"/>
      <c r="F33" s="1318"/>
      <c r="G33" s="1328"/>
      <c r="H33" s="1330"/>
      <c r="I33" s="1318"/>
      <c r="J33" s="1318"/>
      <c r="K33" s="1318"/>
      <c r="L33" s="1318"/>
      <c r="M33" s="1318"/>
      <c r="N33" s="1328"/>
      <c r="O33" s="502">
        <f>SUM(C33:N33)</f>
        <v>0</v>
      </c>
    </row>
    <row r="34" spans="1:15" ht="11.25" customHeight="1" x14ac:dyDescent="0.25">
      <c r="A34" s="1460" t="s">
        <v>403</v>
      </c>
      <c r="B34" s="181"/>
      <c r="C34" s="1318"/>
      <c r="D34" s="1330"/>
      <c r="E34" s="1329"/>
      <c r="F34" s="1318"/>
      <c r="G34" s="1328"/>
      <c r="H34" s="1330"/>
      <c r="I34" s="1318"/>
      <c r="J34" s="1318"/>
      <c r="K34" s="1318"/>
      <c r="L34" s="1318"/>
      <c r="M34" s="1318"/>
      <c r="N34" s="1328"/>
      <c r="O34" s="502">
        <f>SUM(C34:N34)</f>
        <v>0</v>
      </c>
    </row>
    <row r="35" spans="1:15" ht="11.25" customHeight="1" x14ac:dyDescent="0.25">
      <c r="A35" s="1460" t="s">
        <v>404</v>
      </c>
      <c r="B35" s="181"/>
      <c r="C35" s="1318"/>
      <c r="D35" s="1330"/>
      <c r="E35" s="1329"/>
      <c r="F35" s="1318"/>
      <c r="G35" s="1328"/>
      <c r="H35" s="1330"/>
      <c r="I35" s="1318"/>
      <c r="J35" s="1318"/>
      <c r="K35" s="1318"/>
      <c r="L35" s="1318"/>
      <c r="M35" s="1318"/>
      <c r="N35" s="1328"/>
      <c r="O35" s="502">
        <f>SUM(C35:N35)</f>
        <v>0</v>
      </c>
    </row>
    <row r="36" spans="1:15" ht="11.25" customHeight="1" x14ac:dyDescent="0.25">
      <c r="A36" s="257" t="s">
        <v>994</v>
      </c>
      <c r="B36" s="181"/>
      <c r="C36" s="371">
        <f t="shared" ref="C36:N36" si="5">SUM(C33:C35)</f>
        <v>0</v>
      </c>
      <c r="D36" s="374">
        <f t="shared" si="5"/>
        <v>0</v>
      </c>
      <c r="E36" s="373">
        <f t="shared" si="5"/>
        <v>0</v>
      </c>
      <c r="F36" s="371">
        <f t="shared" si="5"/>
        <v>0</v>
      </c>
      <c r="G36" s="372">
        <f t="shared" si="5"/>
        <v>0</v>
      </c>
      <c r="H36" s="374">
        <f t="shared" si="5"/>
        <v>0</v>
      </c>
      <c r="I36" s="371">
        <f t="shared" si="5"/>
        <v>0</v>
      </c>
      <c r="J36" s="371">
        <f t="shared" si="5"/>
        <v>0</v>
      </c>
      <c r="K36" s="371">
        <f t="shared" si="5"/>
        <v>0</v>
      </c>
      <c r="L36" s="371">
        <f t="shared" si="5"/>
        <v>0</v>
      </c>
      <c r="M36" s="371">
        <f t="shared" si="5"/>
        <v>0</v>
      </c>
      <c r="N36" s="372">
        <f t="shared" si="5"/>
        <v>0</v>
      </c>
      <c r="O36" s="746">
        <f>SUM(C36:N36)</f>
        <v>0</v>
      </c>
    </row>
    <row r="37" spans="1:15" ht="5.0999999999999996" customHeight="1" x14ac:dyDescent="0.25">
      <c r="A37" s="265"/>
      <c r="B37" s="181"/>
      <c r="C37" s="201"/>
      <c r="D37" s="200"/>
      <c r="E37" s="203"/>
      <c r="F37" s="201"/>
      <c r="G37" s="202"/>
      <c r="H37" s="200"/>
      <c r="I37" s="201"/>
      <c r="J37" s="201"/>
      <c r="K37" s="201"/>
      <c r="L37" s="201"/>
      <c r="M37" s="201"/>
      <c r="N37" s="202"/>
      <c r="O37" s="857"/>
    </row>
    <row r="38" spans="1:15" ht="11.25" customHeight="1" x14ac:dyDescent="0.25">
      <c r="A38" s="244" t="s">
        <v>993</v>
      </c>
      <c r="B38" s="181">
        <v>2</v>
      </c>
      <c r="C38" s="216"/>
      <c r="D38" s="215"/>
      <c r="E38" s="218"/>
      <c r="F38" s="216"/>
      <c r="G38" s="217"/>
      <c r="H38" s="215"/>
      <c r="I38" s="216"/>
      <c r="J38" s="216"/>
      <c r="K38" s="216"/>
      <c r="L38" s="216"/>
      <c r="M38" s="216"/>
      <c r="N38" s="217"/>
      <c r="O38" s="502"/>
    </row>
    <row r="39" spans="1:15" ht="11.25" customHeight="1" x14ac:dyDescent="0.25">
      <c r="A39" s="1460" t="s">
        <v>402</v>
      </c>
      <c r="B39" s="181"/>
      <c r="C39" s="1318"/>
      <c r="D39" s="1330"/>
      <c r="E39" s="1329"/>
      <c r="F39" s="1318"/>
      <c r="G39" s="1328"/>
      <c r="H39" s="1330"/>
      <c r="I39" s="1318"/>
      <c r="J39" s="1318"/>
      <c r="K39" s="1318"/>
      <c r="L39" s="1318"/>
      <c r="M39" s="1318"/>
      <c r="N39" s="1328"/>
      <c r="O39" s="502">
        <f>SUM(C39:N39)</f>
        <v>0</v>
      </c>
    </row>
    <row r="40" spans="1:15" ht="11.25" customHeight="1" x14ac:dyDescent="0.25">
      <c r="A40" s="1460" t="s">
        <v>403</v>
      </c>
      <c r="B40" s="181"/>
      <c r="C40" s="1318"/>
      <c r="D40" s="1330"/>
      <c r="E40" s="1329"/>
      <c r="F40" s="1318"/>
      <c r="G40" s="1328"/>
      <c r="H40" s="1330"/>
      <c r="I40" s="1318"/>
      <c r="J40" s="1318"/>
      <c r="K40" s="1318"/>
      <c r="L40" s="1318"/>
      <c r="M40" s="1318"/>
      <c r="N40" s="1328"/>
      <c r="O40" s="502">
        <f>SUM(C40:N40)</f>
        <v>0</v>
      </c>
    </row>
    <row r="41" spans="1:15" ht="11.25" customHeight="1" x14ac:dyDescent="0.25">
      <c r="A41" s="1460" t="s">
        <v>404</v>
      </c>
      <c r="B41" s="181"/>
      <c r="C41" s="1318"/>
      <c r="D41" s="1330"/>
      <c r="E41" s="1329"/>
      <c r="F41" s="1318"/>
      <c r="G41" s="1328"/>
      <c r="H41" s="1330"/>
      <c r="I41" s="1318"/>
      <c r="J41" s="1318"/>
      <c r="K41" s="1318"/>
      <c r="L41" s="1318"/>
      <c r="M41" s="1318"/>
      <c r="N41" s="1328"/>
      <c r="O41" s="502">
        <f>SUM(C41:N41)</f>
        <v>0</v>
      </c>
    </row>
    <row r="42" spans="1:15" ht="11.25" customHeight="1" x14ac:dyDescent="0.25">
      <c r="A42" s="257" t="s">
        <v>1433</v>
      </c>
      <c r="B42" s="181"/>
      <c r="C42" s="371">
        <f t="shared" ref="C42:N42" si="6">SUM(C39:C41)</f>
        <v>0</v>
      </c>
      <c r="D42" s="374">
        <f t="shared" si="6"/>
        <v>0</v>
      </c>
      <c r="E42" s="373">
        <f t="shared" si="6"/>
        <v>0</v>
      </c>
      <c r="F42" s="371">
        <f t="shared" si="6"/>
        <v>0</v>
      </c>
      <c r="G42" s="372">
        <f t="shared" si="6"/>
        <v>0</v>
      </c>
      <c r="H42" s="374">
        <f t="shared" si="6"/>
        <v>0</v>
      </c>
      <c r="I42" s="371">
        <f t="shared" si="6"/>
        <v>0</v>
      </c>
      <c r="J42" s="371">
        <f t="shared" si="6"/>
        <v>0</v>
      </c>
      <c r="K42" s="371">
        <f t="shared" si="6"/>
        <v>0</v>
      </c>
      <c r="L42" s="371">
        <f t="shared" si="6"/>
        <v>0</v>
      </c>
      <c r="M42" s="371">
        <f t="shared" si="6"/>
        <v>0</v>
      </c>
      <c r="N42" s="372">
        <f t="shared" si="6"/>
        <v>0</v>
      </c>
      <c r="O42" s="746">
        <f>SUM(C42:N42)</f>
        <v>0</v>
      </c>
    </row>
    <row r="43" spans="1:15" ht="5.0999999999999996" customHeight="1" x14ac:dyDescent="0.25">
      <c r="A43" s="265"/>
      <c r="B43" s="181"/>
      <c r="C43" s="201"/>
      <c r="D43" s="200"/>
      <c r="E43" s="203"/>
      <c r="F43" s="201"/>
      <c r="G43" s="202"/>
      <c r="H43" s="200"/>
      <c r="I43" s="201"/>
      <c r="J43" s="201"/>
      <c r="K43" s="201"/>
      <c r="L43" s="201"/>
      <c r="M43" s="201"/>
      <c r="N43" s="202"/>
      <c r="O43" s="502"/>
    </row>
    <row r="44" spans="1:15" ht="11.25" customHeight="1" x14ac:dyDescent="0.25">
      <c r="A44" s="268" t="s">
        <v>17</v>
      </c>
      <c r="B44" s="222"/>
      <c r="C44" s="227">
        <f>C36+C42</f>
        <v>0</v>
      </c>
      <c r="D44" s="228">
        <f t="shared" ref="D44:O44" si="7">D36+D42</f>
        <v>0</v>
      </c>
      <c r="E44" s="226">
        <f t="shared" si="7"/>
        <v>0</v>
      </c>
      <c r="F44" s="227">
        <f t="shared" si="7"/>
        <v>0</v>
      </c>
      <c r="G44" s="225">
        <f t="shared" si="7"/>
        <v>0</v>
      </c>
      <c r="H44" s="228">
        <f t="shared" si="7"/>
        <v>0</v>
      </c>
      <c r="I44" s="227">
        <f t="shared" si="7"/>
        <v>0</v>
      </c>
      <c r="J44" s="227">
        <f t="shared" si="7"/>
        <v>0</v>
      </c>
      <c r="K44" s="227">
        <f t="shared" si="7"/>
        <v>0</v>
      </c>
      <c r="L44" s="227">
        <f t="shared" si="7"/>
        <v>0</v>
      </c>
      <c r="M44" s="227">
        <f t="shared" si="7"/>
        <v>0</v>
      </c>
      <c r="N44" s="225">
        <f t="shared" si="7"/>
        <v>0</v>
      </c>
      <c r="O44" s="747">
        <f t="shared" si="7"/>
        <v>0</v>
      </c>
    </row>
    <row r="45" spans="1:15" s="625" customFormat="1" x14ac:dyDescent="0.25">
      <c r="A45" s="1009" t="str">
        <f>head27a</f>
        <v>References</v>
      </c>
      <c r="B45" s="837"/>
      <c r="C45" s="841"/>
      <c r="D45" s="841"/>
      <c r="E45" s="841"/>
      <c r="F45" s="841"/>
      <c r="G45" s="841"/>
      <c r="H45" s="841"/>
      <c r="I45" s="841"/>
      <c r="J45" s="841"/>
      <c r="K45" s="841"/>
      <c r="L45" s="841"/>
      <c r="M45" s="841"/>
      <c r="N45" s="841"/>
      <c r="O45" s="867"/>
    </row>
    <row r="46" spans="1:15" s="625" customFormat="1" ht="11.25" customHeight="1" x14ac:dyDescent="0.25">
      <c r="A46" s="1137" t="s">
        <v>18</v>
      </c>
      <c r="B46" s="837"/>
      <c r="C46" s="840"/>
      <c r="D46" s="841"/>
      <c r="E46" s="841"/>
      <c r="F46" s="841"/>
      <c r="G46" s="841"/>
    </row>
    <row r="47" spans="1:15" s="625" customFormat="1" ht="11.25" customHeight="1" x14ac:dyDescent="0.25">
      <c r="A47" s="1010" t="s">
        <v>1443</v>
      </c>
      <c r="B47" s="837"/>
      <c r="C47" s="840"/>
      <c r="D47" s="841"/>
      <c r="E47" s="841"/>
      <c r="F47" s="841"/>
      <c r="G47" s="841"/>
    </row>
    <row r="48" spans="1:15" ht="24.75" customHeight="1" x14ac:dyDescent="0.25">
      <c r="A48" s="2761" t="s">
        <v>687</v>
      </c>
      <c r="B48" s="2762"/>
      <c r="C48" s="2762"/>
      <c r="D48" s="2762"/>
      <c r="E48" s="2762"/>
      <c r="F48" s="2762"/>
      <c r="G48" s="2762"/>
      <c r="H48" s="2762"/>
      <c r="I48" s="2762"/>
      <c r="J48" s="2762"/>
      <c r="K48" s="2762"/>
      <c r="L48" s="2762"/>
      <c r="M48" s="2762"/>
      <c r="N48" s="2762"/>
    </row>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2">
    <mergeCell ref="E2:G2"/>
    <mergeCell ref="A48:N48"/>
  </mergeCells>
  <phoneticPr fontId="4" type="noConversion"/>
  <pageMargins left="0.75" right="0.75" top="1" bottom="1" header="0.5" footer="0.5"/>
  <pageSetup scale="62"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enableFormatConditionsCalculation="0">
    <tabColor indexed="42"/>
    <pageSetUpPr fitToPage="1"/>
  </sheetPr>
  <dimension ref="A1:O132"/>
  <sheetViews>
    <sheetView showGridLines="0" tabSelected="1" workbookViewId="0">
      <pane xSplit="2" ySplit="3" topLeftCell="C59"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338" customWidth="1"/>
    <col min="2" max="2" width="3" style="1928"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997" t="s">
        <v>2557</v>
      </c>
      <c r="B1" s="1997"/>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1"/>
      <c r="I2" s="2697" t="s">
        <v>2482</v>
      </c>
      <c r="J2" s="2698"/>
      <c r="K2" s="2699"/>
    </row>
    <row r="3" spans="1:12" ht="25.5" x14ac:dyDescent="0.25">
      <c r="A3" s="179" t="s">
        <v>667</v>
      </c>
      <c r="B3" s="2003">
        <v>1</v>
      </c>
      <c r="C3" s="2009" t="s">
        <v>1065</v>
      </c>
      <c r="D3" s="2016" t="s">
        <v>1065</v>
      </c>
      <c r="E3" s="354" t="s">
        <v>1065</v>
      </c>
      <c r="F3" s="2004" t="s">
        <v>467</v>
      </c>
      <c r="G3" s="2009" t="s">
        <v>1807</v>
      </c>
      <c r="H3" s="2018" t="s">
        <v>1808</v>
      </c>
      <c r="I3" s="2004" t="s">
        <v>2483</v>
      </c>
      <c r="J3" s="2009" t="s">
        <v>2484</v>
      </c>
      <c r="K3" s="354" t="s">
        <v>2485</v>
      </c>
    </row>
    <row r="4" spans="1:12" ht="11.25" customHeight="1" x14ac:dyDescent="0.25">
      <c r="A4" s="2603" t="s">
        <v>1237</v>
      </c>
      <c r="B4" s="760"/>
      <c r="C4" s="2604"/>
      <c r="D4" s="749"/>
      <c r="E4" s="774"/>
      <c r="F4" s="773"/>
      <c r="G4" s="749"/>
      <c r="H4" s="750"/>
      <c r="I4" s="773"/>
      <c r="J4" s="749"/>
      <c r="K4" s="774"/>
      <c r="L4" s="338"/>
    </row>
    <row r="5" spans="1:12" ht="5.0999999999999996" customHeight="1" x14ac:dyDescent="0.25">
      <c r="A5" s="651"/>
      <c r="B5" s="318"/>
      <c r="C5" s="776"/>
      <c r="D5" s="776"/>
      <c r="E5" s="779"/>
      <c r="F5" s="778"/>
      <c r="G5" s="776"/>
      <c r="H5" s="2106"/>
      <c r="I5" s="778"/>
      <c r="J5" s="776"/>
      <c r="K5" s="779"/>
      <c r="L5" s="338"/>
    </row>
    <row r="6" spans="1:12" ht="11.25" customHeight="1" x14ac:dyDescent="0.25">
      <c r="A6" s="651" t="s">
        <v>979</v>
      </c>
      <c r="B6" s="318"/>
      <c r="C6" s="357">
        <v>5984743</v>
      </c>
      <c r="D6" s="357">
        <v>13372170.859999999</v>
      </c>
      <c r="E6" s="313">
        <v>5028232.33</v>
      </c>
      <c r="F6" s="358">
        <v>8300000</v>
      </c>
      <c r="G6" s="357">
        <v>8300000</v>
      </c>
      <c r="H6" s="359">
        <v>8300000</v>
      </c>
      <c r="I6" s="358">
        <v>9950000</v>
      </c>
      <c r="J6" s="357">
        <v>12950000</v>
      </c>
      <c r="K6" s="313">
        <v>12843000</v>
      </c>
      <c r="L6" s="1269"/>
    </row>
    <row r="7" spans="1:12" s="1248" customFormat="1" ht="13.5" x14ac:dyDescent="0.25">
      <c r="A7" s="249" t="s">
        <v>537</v>
      </c>
      <c r="B7" s="318"/>
      <c r="C7" s="884">
        <v>908966</v>
      </c>
      <c r="D7" s="884">
        <v>1777902.52</v>
      </c>
      <c r="E7" s="1144">
        <v>1967955.18</v>
      </c>
      <c r="F7" s="885">
        <v>5150000</v>
      </c>
      <c r="G7" s="884">
        <v>5150000</v>
      </c>
      <c r="H7" s="920">
        <v>5150000</v>
      </c>
      <c r="I7" s="1145">
        <v>4613700</v>
      </c>
      <c r="J7" s="884">
        <v>7500000</v>
      </c>
      <c r="K7" s="920">
        <v>12843000</v>
      </c>
      <c r="L7" s="338"/>
    </row>
    <row r="8" spans="1:12" s="1248" customFormat="1" ht="13.5" x14ac:dyDescent="0.25">
      <c r="A8" s="1191" t="s">
        <v>538</v>
      </c>
      <c r="B8" s="318"/>
      <c r="C8" s="1030">
        <v>908966</v>
      </c>
      <c r="D8" s="1030">
        <v>1777902.52</v>
      </c>
      <c r="E8" s="1065">
        <v>1967955.18</v>
      </c>
      <c r="F8" s="1066">
        <v>2250000</v>
      </c>
      <c r="G8" s="1030">
        <v>2250000</v>
      </c>
      <c r="H8" s="1067">
        <v>2250000</v>
      </c>
      <c r="I8" s="1066">
        <v>4613700</v>
      </c>
      <c r="J8" s="1030">
        <v>7500000</v>
      </c>
      <c r="K8" s="1065">
        <v>12843000</v>
      </c>
      <c r="L8" s="1269"/>
    </row>
    <row r="9" spans="1:12" s="1248" customFormat="1" ht="13.5" x14ac:dyDescent="0.25">
      <c r="A9" s="1191" t="s">
        <v>539</v>
      </c>
      <c r="B9" s="318"/>
      <c r="C9" s="1030">
        <v>0</v>
      </c>
      <c r="D9" s="1030">
        <v>0</v>
      </c>
      <c r="E9" s="1065">
        <v>0</v>
      </c>
      <c r="F9" s="1066">
        <v>2900000</v>
      </c>
      <c r="G9" s="1030">
        <v>2900000</v>
      </c>
      <c r="H9" s="1067">
        <v>2900000</v>
      </c>
      <c r="I9" s="1066">
        <v>0</v>
      </c>
      <c r="J9" s="1030">
        <v>0</v>
      </c>
      <c r="K9" s="1065">
        <v>0</v>
      </c>
      <c r="L9" s="1270"/>
    </row>
    <row r="10" spans="1:12" s="1248" customFormat="1" ht="13.5" x14ac:dyDescent="0.25">
      <c r="A10" s="249" t="s">
        <v>21</v>
      </c>
      <c r="B10" s="318"/>
      <c r="C10" s="852">
        <v>3731593</v>
      </c>
      <c r="D10" s="852">
        <v>2415449.6499999994</v>
      </c>
      <c r="E10" s="1146">
        <v>1304104.96</v>
      </c>
      <c r="F10" s="856">
        <v>0</v>
      </c>
      <c r="G10" s="852">
        <v>0</v>
      </c>
      <c r="H10" s="923">
        <v>0</v>
      </c>
      <c r="I10" s="1147">
        <v>0</v>
      </c>
      <c r="J10" s="852">
        <v>0</v>
      </c>
      <c r="K10" s="923">
        <v>0</v>
      </c>
      <c r="L10" s="1270"/>
    </row>
    <row r="11" spans="1:12" s="1248" customFormat="1" ht="13.5" x14ac:dyDescent="0.25">
      <c r="A11" s="1191" t="s">
        <v>22</v>
      </c>
      <c r="B11" s="318"/>
      <c r="C11" s="1030">
        <v>0</v>
      </c>
      <c r="D11" s="1030">
        <v>0</v>
      </c>
      <c r="E11" s="2024">
        <v>0</v>
      </c>
      <c r="F11" s="1031">
        <v>0</v>
      </c>
      <c r="G11" s="1030">
        <v>0</v>
      </c>
      <c r="H11" s="2025">
        <v>0</v>
      </c>
      <c r="I11" s="2026">
        <v>0</v>
      </c>
      <c r="J11" s="1030">
        <v>0</v>
      </c>
      <c r="K11" s="2025">
        <v>0</v>
      </c>
      <c r="L11" s="1270"/>
    </row>
    <row r="12" spans="1:12" s="1248" customFormat="1" ht="13.5" x14ac:dyDescent="0.25">
      <c r="A12" s="1191" t="s">
        <v>23</v>
      </c>
      <c r="B12" s="318"/>
      <c r="C12" s="1030">
        <v>3731593</v>
      </c>
      <c r="D12" s="1030">
        <v>2415449.6499999994</v>
      </c>
      <c r="E12" s="2024">
        <v>1304104.96</v>
      </c>
      <c r="F12" s="1031">
        <v>0</v>
      </c>
      <c r="G12" s="1030">
        <v>0</v>
      </c>
      <c r="H12" s="2025">
        <v>0</v>
      </c>
      <c r="I12" s="2026">
        <v>0</v>
      </c>
      <c r="J12" s="1030">
        <v>0</v>
      </c>
      <c r="K12" s="2025">
        <v>0</v>
      </c>
      <c r="L12" s="1270"/>
    </row>
    <row r="13" spans="1:12" s="1248" customFormat="1" ht="13.5" x14ac:dyDescent="0.25">
      <c r="A13" s="1191" t="s">
        <v>137</v>
      </c>
      <c r="B13" s="318"/>
      <c r="C13" s="1030">
        <v>0</v>
      </c>
      <c r="D13" s="1030">
        <v>0</v>
      </c>
      <c r="E13" s="2024">
        <v>0</v>
      </c>
      <c r="F13" s="1031">
        <v>0</v>
      </c>
      <c r="G13" s="1030">
        <v>0</v>
      </c>
      <c r="H13" s="2025">
        <v>0</v>
      </c>
      <c r="I13" s="2026">
        <v>0</v>
      </c>
      <c r="J13" s="1030">
        <v>0</v>
      </c>
      <c r="K13" s="2025">
        <v>0</v>
      </c>
      <c r="L13" s="1270"/>
    </row>
    <row r="14" spans="1:12" s="1248" customFormat="1" ht="13.5" x14ac:dyDescent="0.25">
      <c r="A14" s="249" t="s">
        <v>24</v>
      </c>
      <c r="B14" s="318"/>
      <c r="C14" s="852">
        <v>679714</v>
      </c>
      <c r="D14" s="852">
        <v>8544098.0199999996</v>
      </c>
      <c r="E14" s="1146">
        <v>1146483.99</v>
      </c>
      <c r="F14" s="856">
        <v>200000</v>
      </c>
      <c r="G14" s="852">
        <v>200000</v>
      </c>
      <c r="H14" s="923">
        <v>200000</v>
      </c>
      <c r="I14" s="1147">
        <v>0</v>
      </c>
      <c r="J14" s="852">
        <v>1750000</v>
      </c>
      <c r="K14" s="923">
        <v>0</v>
      </c>
      <c r="L14" s="1270"/>
    </row>
    <row r="15" spans="1:12" s="1248" customFormat="1" ht="13.5" x14ac:dyDescent="0.25">
      <c r="A15" s="1191" t="s">
        <v>25</v>
      </c>
      <c r="B15" s="318"/>
      <c r="C15" s="1030">
        <v>679714</v>
      </c>
      <c r="D15" s="1030">
        <v>8544098.0199999996</v>
      </c>
      <c r="E15" s="2024">
        <v>1146483.99</v>
      </c>
      <c r="F15" s="1031">
        <v>200000</v>
      </c>
      <c r="G15" s="1030">
        <v>200000</v>
      </c>
      <c r="H15" s="2025">
        <v>200000</v>
      </c>
      <c r="I15" s="2026">
        <v>0</v>
      </c>
      <c r="J15" s="1030">
        <v>1750000</v>
      </c>
      <c r="K15" s="2025">
        <v>0</v>
      </c>
      <c r="L15" s="1270"/>
    </row>
    <row r="16" spans="1:12" s="1248" customFormat="1" ht="13.5" x14ac:dyDescent="0.25">
      <c r="A16" s="1191" t="s">
        <v>26</v>
      </c>
      <c r="B16" s="318"/>
      <c r="C16" s="1030">
        <v>0</v>
      </c>
      <c r="D16" s="1030">
        <v>0</v>
      </c>
      <c r="E16" s="2024">
        <v>0</v>
      </c>
      <c r="F16" s="1031">
        <v>0</v>
      </c>
      <c r="G16" s="1030">
        <v>0</v>
      </c>
      <c r="H16" s="2025">
        <v>0</v>
      </c>
      <c r="I16" s="2026">
        <v>0</v>
      </c>
      <c r="J16" s="1030">
        <v>0</v>
      </c>
      <c r="K16" s="2025">
        <v>0</v>
      </c>
      <c r="L16" s="1270"/>
    </row>
    <row r="17" spans="1:12" s="1248" customFormat="1" ht="13.5" x14ac:dyDescent="0.25">
      <c r="A17" s="1191" t="s">
        <v>27</v>
      </c>
      <c r="B17" s="318"/>
      <c r="C17" s="1030">
        <v>0</v>
      </c>
      <c r="D17" s="1030">
        <v>0</v>
      </c>
      <c r="E17" s="2024">
        <v>0</v>
      </c>
      <c r="F17" s="1031">
        <v>0</v>
      </c>
      <c r="G17" s="1030">
        <v>0</v>
      </c>
      <c r="H17" s="2025">
        <v>0</v>
      </c>
      <c r="I17" s="2026">
        <v>0</v>
      </c>
      <c r="J17" s="1030">
        <v>0</v>
      </c>
      <c r="K17" s="2025">
        <v>0</v>
      </c>
      <c r="L17" s="1270"/>
    </row>
    <row r="18" spans="1:12" s="1248" customFormat="1" ht="13.5" x14ac:dyDescent="0.25">
      <c r="A18" s="249" t="s">
        <v>28</v>
      </c>
      <c r="B18" s="318"/>
      <c r="C18" s="852">
        <v>664470</v>
      </c>
      <c r="D18" s="852">
        <v>634720.67000000004</v>
      </c>
      <c r="E18" s="1146">
        <v>609688.19999999995</v>
      </c>
      <c r="F18" s="856">
        <v>2950000</v>
      </c>
      <c r="G18" s="852">
        <v>2950000</v>
      </c>
      <c r="H18" s="923">
        <v>2950000</v>
      </c>
      <c r="I18" s="1147">
        <v>0</v>
      </c>
      <c r="J18" s="852">
        <v>0</v>
      </c>
      <c r="K18" s="923">
        <v>0</v>
      </c>
      <c r="L18" s="1270"/>
    </row>
    <row r="19" spans="1:12" s="1248" customFormat="1" ht="13.5" x14ac:dyDescent="0.25">
      <c r="A19" s="1191" t="s">
        <v>27</v>
      </c>
      <c r="B19" s="318"/>
      <c r="C19" s="1030">
        <v>0</v>
      </c>
      <c r="D19" s="1030">
        <v>0</v>
      </c>
      <c r="E19" s="2024">
        <v>0</v>
      </c>
      <c r="F19" s="1031">
        <v>0</v>
      </c>
      <c r="G19" s="1030">
        <v>0</v>
      </c>
      <c r="H19" s="2025">
        <v>0</v>
      </c>
      <c r="I19" s="2026">
        <v>0</v>
      </c>
      <c r="J19" s="1030">
        <v>0</v>
      </c>
      <c r="K19" s="2025">
        <v>0</v>
      </c>
      <c r="L19" s="1270"/>
    </row>
    <row r="20" spans="1:12" s="1248" customFormat="1" ht="13.5" x14ac:dyDescent="0.25">
      <c r="A20" s="1191" t="s">
        <v>29</v>
      </c>
      <c r="B20" s="318"/>
      <c r="C20" s="1030">
        <v>664470</v>
      </c>
      <c r="D20" s="1030">
        <v>634720.67000000004</v>
      </c>
      <c r="E20" s="2024">
        <v>609688.19999999995</v>
      </c>
      <c r="F20" s="1031">
        <v>2950000</v>
      </c>
      <c r="G20" s="1030">
        <v>2950000</v>
      </c>
      <c r="H20" s="2025">
        <v>2950000</v>
      </c>
      <c r="I20" s="2026">
        <v>0</v>
      </c>
      <c r="J20" s="1030">
        <v>0</v>
      </c>
      <c r="K20" s="2025">
        <v>0</v>
      </c>
      <c r="L20" s="1270"/>
    </row>
    <row r="21" spans="1:12" s="1248" customFormat="1" ht="13.5" x14ac:dyDescent="0.25">
      <c r="A21" s="249" t="s">
        <v>30</v>
      </c>
      <c r="B21" s="318"/>
      <c r="C21" s="852">
        <v>0</v>
      </c>
      <c r="D21" s="852">
        <v>0</v>
      </c>
      <c r="E21" s="852">
        <v>0</v>
      </c>
      <c r="F21" s="856">
        <v>0</v>
      </c>
      <c r="G21" s="852">
        <v>0</v>
      </c>
      <c r="H21" s="923">
        <v>0</v>
      </c>
      <c r="I21" s="1147">
        <v>5336300</v>
      </c>
      <c r="J21" s="852">
        <v>3700000</v>
      </c>
      <c r="K21" s="923">
        <v>0</v>
      </c>
      <c r="L21" s="1270"/>
    </row>
    <row r="22" spans="1:12" s="1248" customFormat="1" ht="13.5" x14ac:dyDescent="0.25">
      <c r="A22" s="1191" t="s">
        <v>1295</v>
      </c>
      <c r="B22" s="318"/>
      <c r="C22" s="1030">
        <v>0</v>
      </c>
      <c r="D22" s="1030">
        <v>0</v>
      </c>
      <c r="E22" s="1067">
        <v>0</v>
      </c>
      <c r="F22" s="1066">
        <v>0</v>
      </c>
      <c r="G22" s="1030">
        <v>0</v>
      </c>
      <c r="H22" s="1067">
        <v>0</v>
      </c>
      <c r="I22" s="1066">
        <v>5336300</v>
      </c>
      <c r="J22" s="1030">
        <v>3700000</v>
      </c>
      <c r="K22" s="2025">
        <v>0</v>
      </c>
      <c r="L22" s="1269"/>
    </row>
    <row r="23" spans="1:12" s="1248" customFormat="1" ht="13.5" x14ac:dyDescent="0.25">
      <c r="A23" s="1191" t="s">
        <v>321</v>
      </c>
      <c r="B23" s="318">
        <v>2</v>
      </c>
      <c r="C23" s="1030">
        <v>0</v>
      </c>
      <c r="D23" s="1030">
        <v>0</v>
      </c>
      <c r="E23" s="1065">
        <v>0</v>
      </c>
      <c r="F23" s="1066">
        <v>0</v>
      </c>
      <c r="G23" s="1030">
        <v>0</v>
      </c>
      <c r="H23" s="1067">
        <v>0</v>
      </c>
      <c r="I23" s="1066">
        <v>0</v>
      </c>
      <c r="J23" s="1030">
        <v>0</v>
      </c>
      <c r="K23" s="2025">
        <v>0</v>
      </c>
      <c r="L23" s="1270"/>
    </row>
    <row r="24" spans="1:12" s="1248" customFormat="1" ht="13.5" x14ac:dyDescent="0.25">
      <c r="A24" s="1191" t="s">
        <v>138</v>
      </c>
      <c r="B24" s="318"/>
      <c r="C24" s="1030">
        <v>0</v>
      </c>
      <c r="D24" s="1030">
        <v>0</v>
      </c>
      <c r="E24" s="1065">
        <v>0</v>
      </c>
      <c r="F24" s="1066">
        <v>0</v>
      </c>
      <c r="G24" s="1030">
        <v>0</v>
      </c>
      <c r="H24" s="1067">
        <v>0</v>
      </c>
      <c r="I24" s="1066">
        <v>0</v>
      </c>
      <c r="J24" s="1030">
        <v>0</v>
      </c>
      <c r="K24" s="1065">
        <v>0</v>
      </c>
      <c r="L24" s="1270"/>
    </row>
    <row r="25" spans="1:12" s="1248" customFormat="1" ht="13.5" x14ac:dyDescent="0.25">
      <c r="A25" s="1191" t="s">
        <v>293</v>
      </c>
      <c r="B25" s="318">
        <v>3</v>
      </c>
      <c r="C25" s="1030">
        <v>0</v>
      </c>
      <c r="D25" s="1030">
        <v>0</v>
      </c>
      <c r="E25" s="1065">
        <v>0</v>
      </c>
      <c r="F25" s="1066">
        <v>0</v>
      </c>
      <c r="G25" s="1030">
        <v>0</v>
      </c>
      <c r="H25" s="1067">
        <v>0</v>
      </c>
      <c r="I25" s="1066">
        <v>0</v>
      </c>
      <c r="J25" s="1030">
        <v>0</v>
      </c>
      <c r="K25" s="1065">
        <v>0</v>
      </c>
      <c r="L25" s="1270"/>
    </row>
    <row r="26" spans="1:12" ht="5.0999999999999996" customHeight="1" x14ac:dyDescent="0.25">
      <c r="A26" s="658"/>
      <c r="B26" s="318"/>
      <c r="C26" s="205"/>
      <c r="D26" s="205"/>
      <c r="E26" s="256">
        <v>0</v>
      </c>
      <c r="F26" s="246"/>
      <c r="G26" s="205"/>
      <c r="H26" s="208"/>
      <c r="I26" s="246"/>
      <c r="J26" s="205"/>
      <c r="K26" s="256"/>
      <c r="L26" s="338"/>
    </row>
    <row r="27" spans="1:12" ht="17.25" customHeight="1" x14ac:dyDescent="0.25">
      <c r="A27" s="651" t="s">
        <v>1575</v>
      </c>
      <c r="B27" s="318"/>
      <c r="C27" s="357">
        <v>0</v>
      </c>
      <c r="D27" s="357">
        <v>0</v>
      </c>
      <c r="E27" s="313">
        <v>0</v>
      </c>
      <c r="F27" s="358">
        <v>300000</v>
      </c>
      <c r="G27" s="357">
        <v>300000</v>
      </c>
      <c r="H27" s="359">
        <v>300000</v>
      </c>
      <c r="I27" s="358">
        <v>1560000</v>
      </c>
      <c r="J27" s="357">
        <v>0</v>
      </c>
      <c r="K27" s="313">
        <v>0</v>
      </c>
      <c r="L27" s="338"/>
    </row>
    <row r="28" spans="1:12" ht="11.25" customHeight="1" x14ac:dyDescent="0.25">
      <c r="A28" s="249" t="s">
        <v>2</v>
      </c>
      <c r="B28" s="318"/>
      <c r="C28" s="2027">
        <v>0</v>
      </c>
      <c r="D28" s="2027">
        <v>0</v>
      </c>
      <c r="E28" s="2605">
        <v>0</v>
      </c>
      <c r="F28" s="2602">
        <v>0</v>
      </c>
      <c r="G28" s="2027">
        <v>0</v>
      </c>
      <c r="H28" s="2606">
        <v>0</v>
      </c>
      <c r="I28" s="2602">
        <v>0</v>
      </c>
      <c r="J28" s="2027">
        <v>0</v>
      </c>
      <c r="K28" s="2605">
        <v>0</v>
      </c>
      <c r="L28" s="1270"/>
    </row>
    <row r="29" spans="1:12" ht="11.25" customHeight="1" x14ac:dyDescent="0.25">
      <c r="A29" s="249" t="s">
        <v>1595</v>
      </c>
      <c r="B29" s="318"/>
      <c r="C29" s="1030">
        <v>0</v>
      </c>
      <c r="D29" s="1030">
        <v>0</v>
      </c>
      <c r="E29" s="1065">
        <v>0</v>
      </c>
      <c r="F29" s="1066">
        <v>0</v>
      </c>
      <c r="G29" s="1030">
        <v>0</v>
      </c>
      <c r="H29" s="1067">
        <v>0</v>
      </c>
      <c r="I29" s="1066">
        <v>0</v>
      </c>
      <c r="J29" s="1030">
        <v>0</v>
      </c>
      <c r="K29" s="1065">
        <v>0</v>
      </c>
      <c r="L29" s="1270"/>
    </row>
    <row r="30" spans="1:12" ht="11.25" customHeight="1" x14ac:dyDescent="0.25">
      <c r="A30" s="249" t="s">
        <v>506</v>
      </c>
      <c r="B30" s="318"/>
      <c r="C30" s="1030">
        <v>0</v>
      </c>
      <c r="D30" s="1030">
        <v>0</v>
      </c>
      <c r="E30" s="1065">
        <v>0</v>
      </c>
      <c r="F30" s="1066">
        <v>0</v>
      </c>
      <c r="G30" s="1030">
        <v>0</v>
      </c>
      <c r="H30" s="1067">
        <v>0</v>
      </c>
      <c r="I30" s="1066">
        <v>0</v>
      </c>
      <c r="J30" s="1030">
        <v>0</v>
      </c>
      <c r="K30" s="1065">
        <v>0</v>
      </c>
      <c r="L30" s="1270"/>
    </row>
    <row r="31" spans="1:12" ht="11.25" customHeight="1" x14ac:dyDescent="0.25">
      <c r="A31" s="249" t="s">
        <v>1</v>
      </c>
      <c r="B31" s="318"/>
      <c r="C31" s="1030">
        <v>0</v>
      </c>
      <c r="D31" s="1030">
        <v>0</v>
      </c>
      <c r="E31" s="1065">
        <v>0</v>
      </c>
      <c r="F31" s="1066">
        <v>0</v>
      </c>
      <c r="G31" s="1030">
        <v>0</v>
      </c>
      <c r="H31" s="1067">
        <v>0</v>
      </c>
      <c r="I31" s="1066">
        <v>0</v>
      </c>
      <c r="J31" s="1030">
        <v>0</v>
      </c>
      <c r="K31" s="1065">
        <v>0</v>
      </c>
      <c r="L31" s="1270"/>
    </row>
    <row r="32" spans="1:12" ht="11.25" customHeight="1" x14ac:dyDescent="0.25">
      <c r="A32" s="249" t="s">
        <v>340</v>
      </c>
      <c r="B32" s="318"/>
      <c r="C32" s="1030">
        <v>0</v>
      </c>
      <c r="D32" s="1030">
        <v>0</v>
      </c>
      <c r="E32" s="1065">
        <v>0</v>
      </c>
      <c r="F32" s="1066">
        <v>0</v>
      </c>
      <c r="G32" s="1030">
        <v>0</v>
      </c>
      <c r="H32" s="1067">
        <v>0</v>
      </c>
      <c r="I32" s="1066">
        <v>0</v>
      </c>
      <c r="J32" s="1030">
        <v>0</v>
      </c>
      <c r="K32" s="1065">
        <v>0</v>
      </c>
      <c r="L32" s="1270"/>
    </row>
    <row r="33" spans="1:15" ht="11.25" customHeight="1" x14ac:dyDescent="0.25">
      <c r="A33" s="249" t="s">
        <v>0</v>
      </c>
      <c r="B33" s="318"/>
      <c r="C33" s="1030">
        <v>0</v>
      </c>
      <c r="D33" s="1030">
        <v>0</v>
      </c>
      <c r="E33" s="1065">
        <v>0</v>
      </c>
      <c r="F33" s="1066">
        <v>0</v>
      </c>
      <c r="G33" s="1030">
        <v>0</v>
      </c>
      <c r="H33" s="1067">
        <v>0</v>
      </c>
      <c r="I33" s="1066">
        <v>0</v>
      </c>
      <c r="J33" s="1030">
        <v>0</v>
      </c>
      <c r="K33" s="1065">
        <v>0</v>
      </c>
      <c r="L33" s="1270"/>
    </row>
    <row r="34" spans="1:15" ht="11.25" customHeight="1" x14ac:dyDescent="0.25">
      <c r="A34" s="249" t="s">
        <v>1596</v>
      </c>
      <c r="B34" s="318"/>
      <c r="C34" s="1030">
        <v>0</v>
      </c>
      <c r="D34" s="1030">
        <v>0</v>
      </c>
      <c r="E34" s="1065">
        <v>0</v>
      </c>
      <c r="F34" s="1066">
        <v>0</v>
      </c>
      <c r="G34" s="1030">
        <v>0</v>
      </c>
      <c r="H34" s="1067">
        <v>0</v>
      </c>
      <c r="I34" s="1066">
        <v>0</v>
      </c>
      <c r="J34" s="1030">
        <v>0</v>
      </c>
      <c r="K34" s="1065">
        <v>0</v>
      </c>
      <c r="L34" s="1270"/>
    </row>
    <row r="35" spans="1:15" ht="11.25" customHeight="1" x14ac:dyDescent="0.25">
      <c r="A35" s="249" t="s">
        <v>964</v>
      </c>
      <c r="B35" s="318"/>
      <c r="C35" s="1030">
        <v>0</v>
      </c>
      <c r="D35" s="1030">
        <v>0</v>
      </c>
      <c r="E35" s="1065">
        <v>0</v>
      </c>
      <c r="F35" s="1066">
        <v>0</v>
      </c>
      <c r="G35" s="1030">
        <v>0</v>
      </c>
      <c r="H35" s="1067">
        <v>0</v>
      </c>
      <c r="I35" s="1066">
        <v>0</v>
      </c>
      <c r="J35" s="1030">
        <v>0</v>
      </c>
      <c r="K35" s="1065">
        <v>0</v>
      </c>
      <c r="L35" s="1270"/>
    </row>
    <row r="36" spans="1:15" ht="11.25" customHeight="1" x14ac:dyDescent="0.25">
      <c r="A36" s="249" t="s">
        <v>1531</v>
      </c>
      <c r="B36" s="318">
        <v>7</v>
      </c>
      <c r="C36" s="1030">
        <v>0</v>
      </c>
      <c r="D36" s="1030">
        <v>0</v>
      </c>
      <c r="E36" s="1065">
        <v>0</v>
      </c>
      <c r="F36" s="1066">
        <v>0</v>
      </c>
      <c r="G36" s="1030">
        <v>0</v>
      </c>
      <c r="H36" s="1067">
        <v>0</v>
      </c>
      <c r="I36" s="1066">
        <v>0</v>
      </c>
      <c r="J36" s="1030">
        <v>0</v>
      </c>
      <c r="K36" s="1065">
        <v>0</v>
      </c>
      <c r="L36" s="1270"/>
    </row>
    <row r="37" spans="1:15" ht="11.25" customHeight="1" x14ac:dyDescent="0.25">
      <c r="A37" s="249" t="s">
        <v>1289</v>
      </c>
      <c r="B37" s="318"/>
      <c r="C37" s="1030">
        <v>0</v>
      </c>
      <c r="D37" s="1030">
        <v>0</v>
      </c>
      <c r="E37" s="1065">
        <v>0</v>
      </c>
      <c r="F37" s="1066">
        <v>0</v>
      </c>
      <c r="G37" s="1030">
        <v>0</v>
      </c>
      <c r="H37" s="1067">
        <v>0</v>
      </c>
      <c r="I37" s="1066">
        <v>0</v>
      </c>
      <c r="J37" s="1030">
        <v>0</v>
      </c>
      <c r="K37" s="1065">
        <v>0</v>
      </c>
      <c r="L37" s="1270"/>
      <c r="O37" s="338"/>
    </row>
    <row r="38" spans="1:15" ht="11.25" customHeight="1" x14ac:dyDescent="0.25">
      <c r="A38" s="249" t="s">
        <v>724</v>
      </c>
      <c r="B38" s="318"/>
      <c r="C38" s="1030">
        <v>0</v>
      </c>
      <c r="D38" s="1030">
        <v>0</v>
      </c>
      <c r="E38" s="1065">
        <v>0</v>
      </c>
      <c r="F38" s="1066">
        <v>0</v>
      </c>
      <c r="G38" s="1030">
        <v>0</v>
      </c>
      <c r="H38" s="1067">
        <v>0</v>
      </c>
      <c r="I38" s="1066">
        <v>0</v>
      </c>
      <c r="J38" s="1030">
        <v>0</v>
      </c>
      <c r="K38" s="1065">
        <v>0</v>
      </c>
      <c r="L38" s="1270"/>
    </row>
    <row r="39" spans="1:15" ht="11.25" customHeight="1" x14ac:dyDescent="0.25">
      <c r="A39" s="249" t="s">
        <v>504</v>
      </c>
      <c r="B39" s="318"/>
      <c r="C39" s="1030">
        <v>0</v>
      </c>
      <c r="D39" s="1030">
        <v>0</v>
      </c>
      <c r="E39" s="1065">
        <v>0</v>
      </c>
      <c r="F39" s="1066">
        <v>300000</v>
      </c>
      <c r="G39" s="1030">
        <v>300000</v>
      </c>
      <c r="H39" s="1067">
        <v>300000</v>
      </c>
      <c r="I39" s="1066">
        <v>1560000</v>
      </c>
      <c r="J39" s="1030">
        <v>0</v>
      </c>
      <c r="K39" s="1065">
        <v>0</v>
      </c>
      <c r="L39" s="1270"/>
    </row>
    <row r="40" spans="1:15" ht="11.25" customHeight="1" x14ac:dyDescent="0.25">
      <c r="A40" s="249" t="s">
        <v>31</v>
      </c>
      <c r="B40" s="318">
        <v>8</v>
      </c>
      <c r="C40" s="1030">
        <v>0</v>
      </c>
      <c r="D40" s="1030">
        <v>0</v>
      </c>
      <c r="E40" s="1065">
        <v>0</v>
      </c>
      <c r="F40" s="1066">
        <v>0</v>
      </c>
      <c r="G40" s="1030">
        <v>0</v>
      </c>
      <c r="H40" s="1067">
        <v>0</v>
      </c>
      <c r="I40" s="1066">
        <v>0</v>
      </c>
      <c r="J40" s="1030">
        <v>0</v>
      </c>
      <c r="K40" s="1065">
        <v>0</v>
      </c>
      <c r="L40" s="338"/>
    </row>
    <row r="41" spans="1:15" ht="11.25" customHeight="1" x14ac:dyDescent="0.25">
      <c r="A41" s="249" t="s">
        <v>293</v>
      </c>
      <c r="B41" s="318"/>
      <c r="C41" s="2217">
        <v>0</v>
      </c>
      <c r="D41" s="2217">
        <v>0</v>
      </c>
      <c r="E41" s="2607">
        <v>0</v>
      </c>
      <c r="F41" s="2608">
        <v>0</v>
      </c>
      <c r="G41" s="2217">
        <v>0</v>
      </c>
      <c r="H41" s="2609">
        <v>0</v>
      </c>
      <c r="I41" s="2608">
        <v>0</v>
      </c>
      <c r="J41" s="2217">
        <v>0</v>
      </c>
      <c r="K41" s="2607">
        <v>0</v>
      </c>
      <c r="L41" s="1270"/>
    </row>
    <row r="42" spans="1:15" ht="5.0999999999999996" customHeight="1" x14ac:dyDescent="0.25">
      <c r="A42" s="658"/>
      <c r="B42" s="318"/>
      <c r="C42" s="205"/>
      <c r="D42" s="205"/>
      <c r="E42" s="256"/>
      <c r="F42" s="246"/>
      <c r="G42" s="205"/>
      <c r="H42" s="208"/>
      <c r="I42" s="246"/>
      <c r="J42" s="205"/>
      <c r="K42" s="256"/>
      <c r="L42" s="338"/>
    </row>
    <row r="43" spans="1:15" ht="17.25" customHeight="1" x14ac:dyDescent="0.25">
      <c r="A43" s="651" t="s">
        <v>967</v>
      </c>
      <c r="B43" s="318"/>
      <c r="C43" s="205">
        <v>0</v>
      </c>
      <c r="D43" s="205">
        <v>0</v>
      </c>
      <c r="E43" s="256">
        <v>0</v>
      </c>
      <c r="F43" s="246">
        <v>0</v>
      </c>
      <c r="G43" s="205">
        <v>0</v>
      </c>
      <c r="H43" s="208">
        <v>0</v>
      </c>
      <c r="I43" s="246">
        <v>0</v>
      </c>
      <c r="J43" s="205">
        <v>0</v>
      </c>
      <c r="K43" s="256">
        <v>0</v>
      </c>
      <c r="L43" s="338"/>
    </row>
    <row r="44" spans="1:15" ht="11.25" customHeight="1" x14ac:dyDescent="0.25">
      <c r="A44" s="249" t="s">
        <v>1261</v>
      </c>
      <c r="B44" s="318"/>
      <c r="C44" s="2032">
        <v>0</v>
      </c>
      <c r="D44" s="2032">
        <v>0</v>
      </c>
      <c r="E44" s="2610">
        <v>0</v>
      </c>
      <c r="F44" s="2611">
        <v>0</v>
      </c>
      <c r="G44" s="2032">
        <v>0</v>
      </c>
      <c r="H44" s="2612">
        <v>0</v>
      </c>
      <c r="I44" s="2611">
        <v>0</v>
      </c>
      <c r="J44" s="2032">
        <v>0</v>
      </c>
      <c r="K44" s="2610">
        <v>0</v>
      </c>
      <c r="L44" s="338"/>
    </row>
    <row r="45" spans="1:15" ht="11.25" customHeight="1" x14ac:dyDescent="0.25">
      <c r="A45" s="249" t="s">
        <v>293</v>
      </c>
      <c r="B45" s="318">
        <v>9</v>
      </c>
      <c r="C45" s="2123">
        <v>0</v>
      </c>
      <c r="D45" s="2123">
        <v>0</v>
      </c>
      <c r="E45" s="2613">
        <v>0</v>
      </c>
      <c r="F45" s="2614">
        <v>0</v>
      </c>
      <c r="G45" s="2123">
        <v>0</v>
      </c>
      <c r="H45" s="2615">
        <v>0</v>
      </c>
      <c r="I45" s="2614">
        <v>0</v>
      </c>
      <c r="J45" s="2123">
        <v>0</v>
      </c>
      <c r="K45" s="2613">
        <v>0</v>
      </c>
      <c r="L45" s="338"/>
    </row>
    <row r="46" spans="1:15" ht="5.0999999999999996" customHeight="1" x14ac:dyDescent="0.25">
      <c r="A46" s="658"/>
      <c r="B46" s="318"/>
      <c r="C46" s="205"/>
      <c r="D46" s="205"/>
      <c r="E46" s="256"/>
      <c r="F46" s="246"/>
      <c r="G46" s="205"/>
      <c r="H46" s="208"/>
      <c r="I46" s="246"/>
      <c r="J46" s="205"/>
      <c r="K46" s="256"/>
      <c r="L46" s="338"/>
    </row>
    <row r="47" spans="1:15" ht="17.25" customHeight="1" x14ac:dyDescent="0.25">
      <c r="A47" s="651" t="s">
        <v>968</v>
      </c>
      <c r="B47" s="318"/>
      <c r="C47" s="357">
        <v>9100000</v>
      </c>
      <c r="D47" s="357">
        <v>0</v>
      </c>
      <c r="E47" s="313">
        <v>0</v>
      </c>
      <c r="F47" s="358">
        <v>0</v>
      </c>
      <c r="G47" s="357">
        <v>0</v>
      </c>
      <c r="H47" s="359">
        <v>0</v>
      </c>
      <c r="I47" s="358">
        <v>0</v>
      </c>
      <c r="J47" s="357">
        <v>0</v>
      </c>
      <c r="K47" s="313">
        <v>0</v>
      </c>
      <c r="L47" s="338"/>
    </row>
    <row r="48" spans="1:15" ht="11.25" customHeight="1" x14ac:dyDescent="0.25">
      <c r="A48" s="249" t="s">
        <v>505</v>
      </c>
      <c r="B48" s="318"/>
      <c r="C48" s="2027">
        <v>0</v>
      </c>
      <c r="D48" s="2027">
        <v>0</v>
      </c>
      <c r="E48" s="2605">
        <v>0</v>
      </c>
      <c r="F48" s="2602">
        <v>0</v>
      </c>
      <c r="G48" s="2027">
        <v>0</v>
      </c>
      <c r="H48" s="2606">
        <v>0</v>
      </c>
      <c r="I48" s="2602">
        <v>0</v>
      </c>
      <c r="J48" s="2027">
        <v>0</v>
      </c>
      <c r="K48" s="2605">
        <v>0</v>
      </c>
      <c r="L48" s="1270"/>
    </row>
    <row r="49" spans="1:12" ht="11.25" customHeight="1" x14ac:dyDescent="0.25">
      <c r="A49" s="249" t="s">
        <v>293</v>
      </c>
      <c r="B49" s="318"/>
      <c r="C49" s="2217">
        <v>9100000</v>
      </c>
      <c r="D49" s="2217">
        <v>0</v>
      </c>
      <c r="E49" s="2607">
        <v>0</v>
      </c>
      <c r="F49" s="2608">
        <v>0</v>
      </c>
      <c r="G49" s="2217">
        <v>0</v>
      </c>
      <c r="H49" s="2609">
        <v>0</v>
      </c>
      <c r="I49" s="2608">
        <v>0</v>
      </c>
      <c r="J49" s="2217">
        <v>0</v>
      </c>
      <c r="K49" s="2607">
        <v>0</v>
      </c>
      <c r="L49" s="338"/>
    </row>
    <row r="50" spans="1:12" ht="5.0999999999999996" customHeight="1" x14ac:dyDescent="0.25">
      <c r="A50" s="658"/>
      <c r="B50" s="318"/>
      <c r="C50" s="205"/>
      <c r="D50" s="205"/>
      <c r="E50" s="256"/>
      <c r="F50" s="246"/>
      <c r="G50" s="205"/>
      <c r="H50" s="208"/>
      <c r="I50" s="246"/>
      <c r="J50" s="205"/>
      <c r="K50" s="256"/>
      <c r="L50" s="338"/>
    </row>
    <row r="51" spans="1:12" ht="17.25" customHeight="1" x14ac:dyDescent="0.25">
      <c r="A51" s="651" t="s">
        <v>969</v>
      </c>
      <c r="B51" s="318"/>
      <c r="C51" s="357">
        <v>1727118</v>
      </c>
      <c r="D51" s="357">
        <v>2287726.08</v>
      </c>
      <c r="E51" s="313">
        <v>1118540.5</v>
      </c>
      <c r="F51" s="358">
        <v>888000</v>
      </c>
      <c r="G51" s="357">
        <v>1180000</v>
      </c>
      <c r="H51" s="359">
        <v>1180000</v>
      </c>
      <c r="I51" s="358">
        <v>1455000</v>
      </c>
      <c r="J51" s="357">
        <v>1542300</v>
      </c>
      <c r="K51" s="313">
        <v>1634838</v>
      </c>
      <c r="L51" s="338"/>
    </row>
    <row r="52" spans="1:12" ht="11.25" customHeight="1" x14ac:dyDescent="0.25">
      <c r="A52" s="249" t="s">
        <v>632</v>
      </c>
      <c r="B52" s="318"/>
      <c r="C52" s="2027">
        <v>1535447</v>
      </c>
      <c r="D52" s="2027">
        <v>10000</v>
      </c>
      <c r="E52" s="2605">
        <v>120000</v>
      </c>
      <c r="F52" s="2602">
        <v>0</v>
      </c>
      <c r="G52" s="2027">
        <v>0</v>
      </c>
      <c r="H52" s="2606">
        <v>0</v>
      </c>
      <c r="I52" s="2602">
        <v>0</v>
      </c>
      <c r="J52" s="2027">
        <v>0</v>
      </c>
      <c r="K52" s="2605">
        <v>0</v>
      </c>
      <c r="L52" s="1270"/>
    </row>
    <row r="53" spans="1:12" ht="11.25" customHeight="1" x14ac:dyDescent="0.25">
      <c r="A53" s="249" t="s">
        <v>32</v>
      </c>
      <c r="B53" s="318">
        <v>10</v>
      </c>
      <c r="C53" s="852">
        <v>0</v>
      </c>
      <c r="D53" s="852">
        <v>0</v>
      </c>
      <c r="E53" s="853">
        <v>0</v>
      </c>
      <c r="F53" s="854">
        <v>0</v>
      </c>
      <c r="G53" s="852">
        <v>0</v>
      </c>
      <c r="H53" s="855">
        <v>0</v>
      </c>
      <c r="I53" s="854">
        <v>0</v>
      </c>
      <c r="J53" s="852">
        <v>0</v>
      </c>
      <c r="K53" s="853">
        <v>0</v>
      </c>
      <c r="L53" s="338"/>
    </row>
    <row r="54" spans="1:12" ht="11.25" customHeight="1" x14ac:dyDescent="0.25">
      <c r="A54" s="249" t="s">
        <v>1249</v>
      </c>
      <c r="B54" s="318"/>
      <c r="C54" s="1030">
        <v>172365</v>
      </c>
      <c r="D54" s="1030">
        <v>190351.58</v>
      </c>
      <c r="E54" s="1065">
        <v>10445</v>
      </c>
      <c r="F54" s="1066">
        <v>0</v>
      </c>
      <c r="G54" s="1030">
        <v>0</v>
      </c>
      <c r="H54" s="1067">
        <v>0</v>
      </c>
      <c r="I54" s="1066">
        <v>0</v>
      </c>
      <c r="J54" s="1030">
        <v>0</v>
      </c>
      <c r="K54" s="1065">
        <v>0</v>
      </c>
      <c r="L54" s="1270"/>
    </row>
    <row r="55" spans="1:12" ht="11.25" customHeight="1" x14ac:dyDescent="0.25">
      <c r="A55" s="249" t="s">
        <v>633</v>
      </c>
      <c r="B55" s="318"/>
      <c r="C55" s="1030">
        <v>0</v>
      </c>
      <c r="D55" s="1030">
        <v>221163.57</v>
      </c>
      <c r="E55" s="1065">
        <v>35928.42</v>
      </c>
      <c r="F55" s="1066">
        <v>0</v>
      </c>
      <c r="G55" s="1030">
        <v>0</v>
      </c>
      <c r="H55" s="1067">
        <v>0</v>
      </c>
      <c r="I55" s="1066">
        <v>0</v>
      </c>
      <c r="J55" s="1030">
        <v>0</v>
      </c>
      <c r="K55" s="1065">
        <v>0</v>
      </c>
      <c r="L55" s="1270"/>
    </row>
    <row r="56" spans="1:12" ht="11.25" customHeight="1" x14ac:dyDescent="0.25">
      <c r="A56" s="249" t="s">
        <v>634</v>
      </c>
      <c r="B56" s="318"/>
      <c r="C56" s="1030">
        <v>19306</v>
      </c>
      <c r="D56" s="1030">
        <v>797696.27</v>
      </c>
      <c r="E56" s="1065">
        <v>465160.78</v>
      </c>
      <c r="F56" s="1066">
        <v>0</v>
      </c>
      <c r="G56" s="1030">
        <v>0</v>
      </c>
      <c r="H56" s="1067">
        <v>0</v>
      </c>
      <c r="I56" s="1066">
        <v>0</v>
      </c>
      <c r="J56" s="1030">
        <v>0</v>
      </c>
      <c r="K56" s="1065">
        <v>0</v>
      </c>
      <c r="L56" s="1270"/>
    </row>
    <row r="57" spans="1:12" ht="11.25" customHeight="1" x14ac:dyDescent="0.25">
      <c r="A57" s="249" t="s">
        <v>1250</v>
      </c>
      <c r="B57" s="318"/>
      <c r="C57" s="1030">
        <v>0</v>
      </c>
      <c r="D57" s="1030">
        <v>0</v>
      </c>
      <c r="E57" s="1065">
        <v>0</v>
      </c>
      <c r="F57" s="1066">
        <v>0</v>
      </c>
      <c r="G57" s="1030">
        <v>0</v>
      </c>
      <c r="H57" s="1067">
        <v>0</v>
      </c>
      <c r="I57" s="1066">
        <v>0</v>
      </c>
      <c r="J57" s="1030">
        <v>0</v>
      </c>
      <c r="K57" s="1065">
        <v>0</v>
      </c>
      <c r="L57" s="1270"/>
    </row>
    <row r="58" spans="1:12" ht="11.25" customHeight="1" x14ac:dyDescent="0.25">
      <c r="A58" s="249" t="s">
        <v>1251</v>
      </c>
      <c r="B58" s="318"/>
      <c r="C58" s="1030">
        <v>0</v>
      </c>
      <c r="D58" s="1030">
        <v>0</v>
      </c>
      <c r="E58" s="1065">
        <v>0</v>
      </c>
      <c r="F58" s="1066">
        <v>0</v>
      </c>
      <c r="G58" s="1030">
        <v>0</v>
      </c>
      <c r="H58" s="1067">
        <v>0</v>
      </c>
      <c r="I58" s="1066">
        <v>0</v>
      </c>
      <c r="J58" s="1030">
        <v>0</v>
      </c>
      <c r="K58" s="1065">
        <v>0</v>
      </c>
      <c r="L58" s="1269"/>
    </row>
    <row r="59" spans="1:12" ht="11.25" customHeight="1" x14ac:dyDescent="0.25">
      <c r="A59" s="249" t="s">
        <v>1529</v>
      </c>
      <c r="B59" s="318"/>
      <c r="C59" s="1030">
        <v>0</v>
      </c>
      <c r="D59" s="1030">
        <v>1068514.6600000001</v>
      </c>
      <c r="E59" s="1065">
        <v>487006.3</v>
      </c>
      <c r="F59" s="1066">
        <v>0</v>
      </c>
      <c r="G59" s="1030">
        <v>0</v>
      </c>
      <c r="H59" s="1067">
        <v>0</v>
      </c>
      <c r="I59" s="1066">
        <v>0</v>
      </c>
      <c r="J59" s="1030">
        <v>0</v>
      </c>
      <c r="K59" s="1065">
        <v>0</v>
      </c>
      <c r="L59" s="1270"/>
    </row>
    <row r="60" spans="1:12" ht="11.25" customHeight="1" x14ac:dyDescent="0.25">
      <c r="A60" s="249" t="s">
        <v>323</v>
      </c>
      <c r="B60" s="318"/>
      <c r="C60" s="1030">
        <v>0</v>
      </c>
      <c r="D60" s="1030">
        <v>0</v>
      </c>
      <c r="E60" s="1065">
        <v>0</v>
      </c>
      <c r="F60" s="1066">
        <v>0</v>
      </c>
      <c r="G60" s="1030">
        <v>0</v>
      </c>
      <c r="H60" s="1067">
        <v>0</v>
      </c>
      <c r="I60" s="1066">
        <v>0</v>
      </c>
      <c r="J60" s="1030">
        <v>0</v>
      </c>
      <c r="K60" s="1065">
        <v>0</v>
      </c>
      <c r="L60" s="1270"/>
    </row>
    <row r="61" spans="1:12" ht="11.25" customHeight="1" x14ac:dyDescent="0.25">
      <c r="A61" s="249" t="s">
        <v>322</v>
      </c>
      <c r="B61" s="318"/>
      <c r="C61" s="1030">
        <v>0</v>
      </c>
      <c r="D61" s="1030">
        <v>0</v>
      </c>
      <c r="E61" s="1065">
        <v>0</v>
      </c>
      <c r="F61" s="1066">
        <v>0</v>
      </c>
      <c r="G61" s="1030">
        <v>0</v>
      </c>
      <c r="H61" s="1067">
        <v>0</v>
      </c>
      <c r="I61" s="1066">
        <v>0</v>
      </c>
      <c r="J61" s="1030">
        <v>0</v>
      </c>
      <c r="K61" s="1065">
        <v>0</v>
      </c>
      <c r="L61" s="1270"/>
    </row>
    <row r="62" spans="1:12" ht="11.25" customHeight="1" x14ac:dyDescent="0.25">
      <c r="A62" s="249" t="s">
        <v>635</v>
      </c>
      <c r="B62" s="318"/>
      <c r="C62" s="1030">
        <v>0</v>
      </c>
      <c r="D62" s="1030">
        <v>0</v>
      </c>
      <c r="E62" s="1065">
        <v>0</v>
      </c>
      <c r="F62" s="1066">
        <v>0</v>
      </c>
      <c r="G62" s="1030">
        <v>0</v>
      </c>
      <c r="H62" s="1067">
        <v>0</v>
      </c>
      <c r="I62" s="1066">
        <v>0</v>
      </c>
      <c r="J62" s="1030">
        <v>0</v>
      </c>
      <c r="K62" s="1065">
        <v>0</v>
      </c>
      <c r="L62" s="1270"/>
    </row>
    <row r="63" spans="1:12" ht="11.25" customHeight="1" x14ac:dyDescent="0.25">
      <c r="A63" s="249" t="s">
        <v>293</v>
      </c>
      <c r="B63" s="318"/>
      <c r="C63" s="2217">
        <v>0</v>
      </c>
      <c r="D63" s="2217">
        <v>0</v>
      </c>
      <c r="E63" s="2607">
        <v>0</v>
      </c>
      <c r="F63" s="2608">
        <v>888000</v>
      </c>
      <c r="G63" s="2217">
        <v>1180000</v>
      </c>
      <c r="H63" s="2609">
        <v>1180000</v>
      </c>
      <c r="I63" s="2608">
        <v>1455000</v>
      </c>
      <c r="J63" s="2217">
        <v>1542300</v>
      </c>
      <c r="K63" s="2607">
        <v>1634838</v>
      </c>
      <c r="L63" s="1270"/>
    </row>
    <row r="64" spans="1:12" ht="5.0999999999999996" customHeight="1" x14ac:dyDescent="0.25">
      <c r="A64" s="768"/>
      <c r="B64" s="318"/>
      <c r="C64" s="205"/>
      <c r="D64" s="205"/>
      <c r="E64" s="256"/>
      <c r="F64" s="246"/>
      <c r="G64" s="205"/>
      <c r="H64" s="208"/>
      <c r="I64" s="246"/>
      <c r="J64" s="205"/>
      <c r="K64" s="256"/>
      <c r="L64" s="338"/>
    </row>
    <row r="65" spans="1:12" ht="13.5" customHeight="1" x14ac:dyDescent="0.25">
      <c r="A65" s="651" t="s">
        <v>1544</v>
      </c>
      <c r="B65" s="318"/>
      <c r="C65" s="205">
        <v>0</v>
      </c>
      <c r="D65" s="205">
        <v>0</v>
      </c>
      <c r="E65" s="256">
        <v>0</v>
      </c>
      <c r="F65" s="246">
        <v>0</v>
      </c>
      <c r="G65" s="205">
        <v>0</v>
      </c>
      <c r="H65" s="208">
        <v>0</v>
      </c>
      <c r="I65" s="246">
        <v>0</v>
      </c>
      <c r="J65" s="205">
        <v>0</v>
      </c>
      <c r="K65" s="256">
        <v>0</v>
      </c>
      <c r="L65" s="338"/>
    </row>
    <row r="66" spans="1:12" ht="11.25" customHeight="1" x14ac:dyDescent="0.25">
      <c r="A66" s="2560" t="s">
        <v>1262</v>
      </c>
      <c r="B66" s="318"/>
      <c r="C66" s="2027">
        <v>0</v>
      </c>
      <c r="D66" s="2027">
        <v>0</v>
      </c>
      <c r="E66" s="2605">
        <v>0</v>
      </c>
      <c r="F66" s="2602">
        <v>0</v>
      </c>
      <c r="G66" s="2027">
        <v>0</v>
      </c>
      <c r="H66" s="2606">
        <v>0</v>
      </c>
      <c r="I66" s="2602">
        <v>0</v>
      </c>
      <c r="J66" s="2027">
        <v>0</v>
      </c>
      <c r="K66" s="2605">
        <v>0</v>
      </c>
      <c r="L66" s="338"/>
    </row>
    <row r="67" spans="1:12" ht="11.25" customHeight="1" x14ac:dyDescent="0.25">
      <c r="A67" s="2560"/>
      <c r="B67" s="318"/>
      <c r="C67" s="2217">
        <v>0</v>
      </c>
      <c r="D67" s="2217">
        <v>0</v>
      </c>
      <c r="E67" s="2607">
        <v>0</v>
      </c>
      <c r="F67" s="2608">
        <v>0</v>
      </c>
      <c r="G67" s="2217">
        <v>0</v>
      </c>
      <c r="H67" s="2609">
        <v>0</v>
      </c>
      <c r="I67" s="2608">
        <v>0</v>
      </c>
      <c r="J67" s="2217">
        <v>0</v>
      </c>
      <c r="K67" s="2607">
        <v>0</v>
      </c>
      <c r="L67" s="338"/>
    </row>
    <row r="68" spans="1:12" ht="5.0999999999999996" customHeight="1" x14ac:dyDescent="0.25">
      <c r="A68" s="768"/>
      <c r="B68" s="318"/>
      <c r="C68" s="205"/>
      <c r="D68" s="205"/>
      <c r="E68" s="256"/>
      <c r="F68" s="246"/>
      <c r="G68" s="205"/>
      <c r="H68" s="208"/>
      <c r="I68" s="246"/>
      <c r="J68" s="205"/>
      <c r="K68" s="256"/>
      <c r="L68" s="338"/>
    </row>
    <row r="69" spans="1:12" ht="13.5" customHeight="1" x14ac:dyDescent="0.25">
      <c r="A69" s="651" t="s">
        <v>136</v>
      </c>
      <c r="B69" s="318"/>
      <c r="C69" s="205">
        <v>0</v>
      </c>
      <c r="D69" s="205">
        <v>0</v>
      </c>
      <c r="E69" s="256">
        <v>0</v>
      </c>
      <c r="F69" s="246">
        <v>0</v>
      </c>
      <c r="G69" s="205">
        <v>0</v>
      </c>
      <c r="H69" s="208">
        <v>0</v>
      </c>
      <c r="I69" s="246">
        <v>0</v>
      </c>
      <c r="J69" s="205">
        <v>0</v>
      </c>
      <c r="K69" s="256">
        <v>0</v>
      </c>
      <c r="L69" s="338"/>
    </row>
    <row r="70" spans="1:12" ht="11.25" customHeight="1" x14ac:dyDescent="0.25">
      <c r="A70" s="2560" t="s">
        <v>1262</v>
      </c>
      <c r="B70" s="318"/>
      <c r="C70" s="2027">
        <v>0</v>
      </c>
      <c r="D70" s="2027">
        <v>0</v>
      </c>
      <c r="E70" s="2605">
        <v>0</v>
      </c>
      <c r="F70" s="2602">
        <v>0</v>
      </c>
      <c r="G70" s="2027">
        <v>0</v>
      </c>
      <c r="H70" s="2606">
        <v>0</v>
      </c>
      <c r="I70" s="2602">
        <v>0</v>
      </c>
      <c r="J70" s="2027">
        <v>0</v>
      </c>
      <c r="K70" s="2605">
        <v>0</v>
      </c>
      <c r="L70" s="338"/>
    </row>
    <row r="71" spans="1:12" ht="11.25" customHeight="1" x14ac:dyDescent="0.25">
      <c r="A71" s="2560"/>
      <c r="B71" s="318"/>
      <c r="C71" s="2217">
        <v>0</v>
      </c>
      <c r="D71" s="2217">
        <v>0</v>
      </c>
      <c r="E71" s="2607">
        <v>0</v>
      </c>
      <c r="F71" s="2608">
        <v>0</v>
      </c>
      <c r="G71" s="2217">
        <v>0</v>
      </c>
      <c r="H71" s="2609">
        <v>0</v>
      </c>
      <c r="I71" s="2608">
        <v>0</v>
      </c>
      <c r="J71" s="2217">
        <v>0</v>
      </c>
      <c r="K71" s="2607">
        <v>0</v>
      </c>
      <c r="L71" s="338"/>
    </row>
    <row r="72" spans="1:12" ht="5.0999999999999996" customHeight="1" x14ac:dyDescent="0.25">
      <c r="A72" s="658"/>
      <c r="B72" s="318"/>
      <c r="C72" s="205"/>
      <c r="D72" s="205"/>
      <c r="E72" s="256"/>
      <c r="F72" s="246"/>
      <c r="G72" s="205"/>
      <c r="H72" s="208"/>
      <c r="I72" s="246"/>
      <c r="J72" s="205"/>
      <c r="K72" s="256"/>
      <c r="L72" s="338"/>
    </row>
    <row r="73" spans="1:12" ht="17.25" customHeight="1" x14ac:dyDescent="0.25">
      <c r="A73" s="651" t="s">
        <v>884</v>
      </c>
      <c r="B73" s="318"/>
      <c r="C73" s="205">
        <v>0</v>
      </c>
      <c r="D73" s="205">
        <v>44330</v>
      </c>
      <c r="E73" s="256">
        <v>0</v>
      </c>
      <c r="F73" s="246">
        <v>0</v>
      </c>
      <c r="G73" s="205">
        <v>0</v>
      </c>
      <c r="H73" s="208">
        <v>0</v>
      </c>
      <c r="I73" s="246">
        <v>0</v>
      </c>
      <c r="J73" s="205">
        <v>0</v>
      </c>
      <c r="K73" s="256">
        <v>0</v>
      </c>
      <c r="L73" s="338"/>
    </row>
    <row r="74" spans="1:12" ht="11.25" customHeight="1" x14ac:dyDescent="0.25">
      <c r="A74" s="249" t="s">
        <v>975</v>
      </c>
      <c r="B74" s="318"/>
      <c r="C74" s="2027">
        <v>0</v>
      </c>
      <c r="D74" s="2027">
        <v>44330</v>
      </c>
      <c r="E74" s="2605">
        <v>0</v>
      </c>
      <c r="F74" s="2602">
        <v>0</v>
      </c>
      <c r="G74" s="2027">
        <v>0</v>
      </c>
      <c r="H74" s="2606">
        <v>0</v>
      </c>
      <c r="I74" s="2602">
        <v>0</v>
      </c>
      <c r="J74" s="2027">
        <v>0</v>
      </c>
      <c r="K74" s="2605">
        <v>0</v>
      </c>
      <c r="L74" s="338"/>
    </row>
    <row r="75" spans="1:12" ht="11.25" customHeight="1" x14ac:dyDescent="0.25">
      <c r="A75" s="2477" t="s">
        <v>617</v>
      </c>
      <c r="B75" s="318"/>
      <c r="C75" s="2217">
        <v>0</v>
      </c>
      <c r="D75" s="2217">
        <v>0</v>
      </c>
      <c r="E75" s="2607">
        <v>0</v>
      </c>
      <c r="F75" s="2608">
        <v>0</v>
      </c>
      <c r="G75" s="2217">
        <v>0</v>
      </c>
      <c r="H75" s="2609">
        <v>0</v>
      </c>
      <c r="I75" s="2608">
        <v>0</v>
      </c>
      <c r="J75" s="2217">
        <v>0</v>
      </c>
      <c r="K75" s="2607">
        <v>0</v>
      </c>
      <c r="L75" s="338"/>
    </row>
    <row r="76" spans="1:12" ht="5.0999999999999996" customHeight="1" x14ac:dyDescent="0.25">
      <c r="A76" s="658"/>
      <c r="B76" s="318"/>
      <c r="C76" s="357"/>
      <c r="D76" s="357"/>
      <c r="E76" s="313"/>
      <c r="F76" s="358"/>
      <c r="G76" s="357"/>
      <c r="H76" s="359"/>
      <c r="I76" s="358"/>
      <c r="J76" s="357"/>
      <c r="K76" s="313"/>
      <c r="L76" s="338"/>
    </row>
    <row r="77" spans="1:12" x14ac:dyDescent="0.25">
      <c r="A77" s="659" t="s">
        <v>1238</v>
      </c>
      <c r="B77" s="2616">
        <v>1</v>
      </c>
      <c r="C77" s="224">
        <v>16811861</v>
      </c>
      <c r="D77" s="224">
        <v>15704226.939999999</v>
      </c>
      <c r="E77" s="320">
        <v>6146772.8300000001</v>
      </c>
      <c r="F77" s="321">
        <v>9488000</v>
      </c>
      <c r="G77" s="224">
        <v>9780000</v>
      </c>
      <c r="H77" s="223">
        <v>9780000</v>
      </c>
      <c r="I77" s="321">
        <v>12965000</v>
      </c>
      <c r="J77" s="224">
        <v>14492300</v>
      </c>
      <c r="K77" s="320">
        <v>14477838</v>
      </c>
      <c r="L77" s="338"/>
    </row>
    <row r="78" spans="1:12" x14ac:dyDescent="0.25">
      <c r="A78" s="1773"/>
      <c r="B78" s="1769"/>
      <c r="C78" s="359"/>
      <c r="D78" s="359"/>
      <c r="E78" s="359"/>
      <c r="F78" s="359"/>
      <c r="G78" s="359"/>
      <c r="H78" s="359"/>
      <c r="I78" s="359"/>
      <c r="J78" s="359"/>
      <c r="K78" s="359"/>
      <c r="L78" s="338"/>
    </row>
    <row r="79" spans="1:12" x14ac:dyDescent="0.25">
      <c r="A79" s="2617" t="s">
        <v>32</v>
      </c>
      <c r="B79" s="2618"/>
      <c r="C79" s="2159">
        <v>0</v>
      </c>
      <c r="D79" s="2156">
        <v>0</v>
      </c>
      <c r="E79" s="2619">
        <v>0</v>
      </c>
      <c r="F79" s="2159">
        <v>0</v>
      </c>
      <c r="G79" s="2156">
        <v>0</v>
      </c>
      <c r="H79" s="2619">
        <v>0</v>
      </c>
      <c r="I79" s="2159">
        <v>0</v>
      </c>
      <c r="J79" s="2156">
        <v>0</v>
      </c>
      <c r="K79" s="2619">
        <v>0</v>
      </c>
      <c r="L79" s="338"/>
    </row>
    <row r="80" spans="1:12" x14ac:dyDescent="0.25">
      <c r="A80" s="302" t="s">
        <v>1295</v>
      </c>
      <c r="B80" s="1840"/>
      <c r="C80" s="1031">
        <v>0</v>
      </c>
      <c r="D80" s="1030">
        <v>0</v>
      </c>
      <c r="E80" s="2025">
        <v>0</v>
      </c>
      <c r="F80" s="1031">
        <v>0</v>
      </c>
      <c r="G80" s="1030">
        <v>0</v>
      </c>
      <c r="H80" s="2025">
        <v>0</v>
      </c>
      <c r="I80" s="1031">
        <v>0</v>
      </c>
      <c r="J80" s="1030">
        <v>0</v>
      </c>
      <c r="K80" s="2025">
        <v>0</v>
      </c>
      <c r="L80" s="338"/>
    </row>
    <row r="81" spans="1:12" x14ac:dyDescent="0.25">
      <c r="A81" s="302" t="s">
        <v>1530</v>
      </c>
      <c r="B81" s="1840"/>
      <c r="C81" s="1031">
        <v>0</v>
      </c>
      <c r="D81" s="1030">
        <v>0</v>
      </c>
      <c r="E81" s="2025">
        <v>0</v>
      </c>
      <c r="F81" s="1031">
        <v>0</v>
      </c>
      <c r="G81" s="1030">
        <v>0</v>
      </c>
      <c r="H81" s="2025">
        <v>0</v>
      </c>
      <c r="I81" s="1031">
        <v>0</v>
      </c>
      <c r="J81" s="1030">
        <v>0</v>
      </c>
      <c r="K81" s="2025">
        <v>0</v>
      </c>
      <c r="L81" s="338"/>
    </row>
    <row r="82" spans="1:12" x14ac:dyDescent="0.25">
      <c r="A82" s="302" t="s">
        <v>1727</v>
      </c>
      <c r="B82" s="1840"/>
      <c r="C82" s="1031">
        <v>0</v>
      </c>
      <c r="D82" s="1030">
        <v>0</v>
      </c>
      <c r="E82" s="2025">
        <v>0</v>
      </c>
      <c r="F82" s="1031">
        <v>0</v>
      </c>
      <c r="G82" s="1030">
        <v>0</v>
      </c>
      <c r="H82" s="2025">
        <v>0</v>
      </c>
      <c r="I82" s="1031">
        <v>0</v>
      </c>
      <c r="J82" s="1030">
        <v>0</v>
      </c>
      <c r="K82" s="2025">
        <v>0</v>
      </c>
      <c r="L82" s="338"/>
    </row>
    <row r="83" spans="1:12" x14ac:dyDescent="0.25">
      <c r="A83" s="2620" t="s">
        <v>1728</v>
      </c>
      <c r="B83" s="1835"/>
      <c r="C83" s="2236">
        <v>0</v>
      </c>
      <c r="D83" s="2232">
        <v>0</v>
      </c>
      <c r="E83" s="2621">
        <v>0</v>
      </c>
      <c r="F83" s="2236">
        <v>0</v>
      </c>
      <c r="G83" s="2232">
        <v>0</v>
      </c>
      <c r="H83" s="2621">
        <v>0</v>
      </c>
      <c r="I83" s="2236">
        <v>0</v>
      </c>
      <c r="J83" s="2232">
        <v>0</v>
      </c>
      <c r="K83" s="2621">
        <v>0</v>
      </c>
      <c r="L83" s="338"/>
    </row>
    <row r="84" spans="1:12" s="625" customFormat="1" x14ac:dyDescent="0.25">
      <c r="A84" s="1787" t="s">
        <v>986</v>
      </c>
      <c r="B84" s="1927"/>
      <c r="C84" s="839"/>
      <c r="D84" s="839"/>
      <c r="E84" s="839"/>
      <c r="F84" s="839"/>
      <c r="G84" s="839"/>
      <c r="H84" s="839"/>
      <c r="I84" s="839"/>
      <c r="J84" s="839"/>
      <c r="K84" s="839"/>
      <c r="L84" s="1271"/>
    </row>
    <row r="85" spans="1:12" s="625" customFormat="1" ht="11.25" customHeight="1" x14ac:dyDescent="0.25">
      <c r="A85" s="1235" t="s">
        <v>1239</v>
      </c>
      <c r="B85" s="1927"/>
      <c r="C85" s="2083"/>
      <c r="D85" s="2083"/>
      <c r="E85" s="839"/>
      <c r="F85" s="839"/>
      <c r="G85" s="839"/>
      <c r="H85" s="839"/>
      <c r="I85" s="839"/>
      <c r="J85" s="839"/>
      <c r="K85" s="839"/>
    </row>
    <row r="86" spans="1:12" s="625" customFormat="1" ht="11.25" customHeight="1" x14ac:dyDescent="0.25">
      <c r="A86" s="1235" t="s">
        <v>320</v>
      </c>
      <c r="B86" s="1927"/>
      <c r="C86" s="2083"/>
      <c r="D86" s="2083"/>
      <c r="E86" s="839"/>
      <c r="F86" s="839"/>
      <c r="G86" s="839"/>
      <c r="H86" s="839"/>
      <c r="I86" s="839"/>
      <c r="J86" s="839"/>
      <c r="K86" s="839"/>
    </row>
    <row r="87" spans="1:12" s="625" customFormat="1" ht="11.25" customHeight="1" x14ac:dyDescent="0.25">
      <c r="A87" s="1235" t="s">
        <v>917</v>
      </c>
      <c r="B87" s="1927"/>
      <c r="C87" s="2083"/>
      <c r="D87" s="2083"/>
      <c r="E87" s="839"/>
      <c r="F87" s="839"/>
      <c r="G87" s="839"/>
      <c r="H87" s="839"/>
      <c r="I87" s="839"/>
      <c r="J87" s="839"/>
      <c r="K87" s="839"/>
    </row>
    <row r="88" spans="1:12" s="625" customFormat="1" ht="11.25" customHeight="1" x14ac:dyDescent="0.25">
      <c r="A88" s="1235" t="s">
        <v>324</v>
      </c>
      <c r="B88" s="1927"/>
      <c r="C88" s="2083"/>
      <c r="D88" s="2083"/>
      <c r="E88" s="839"/>
      <c r="F88" s="839"/>
      <c r="G88" s="839"/>
      <c r="H88" s="839"/>
      <c r="I88" s="839"/>
      <c r="J88" s="839"/>
      <c r="K88" s="839"/>
    </row>
    <row r="89" spans="1:12" s="625" customFormat="1" ht="11.25" customHeight="1" x14ac:dyDescent="0.25">
      <c r="A89" s="1235" t="s">
        <v>133</v>
      </c>
      <c r="B89" s="1927"/>
      <c r="C89" s="2083"/>
      <c r="D89" s="2083"/>
      <c r="E89" s="839"/>
      <c r="F89" s="839"/>
      <c r="G89" s="839"/>
      <c r="H89" s="839"/>
      <c r="I89" s="839"/>
      <c r="J89" s="839"/>
      <c r="K89" s="839"/>
    </row>
    <row r="90" spans="1:12" s="625" customFormat="1" ht="11.25" customHeight="1" x14ac:dyDescent="0.25">
      <c r="A90" s="1235" t="s">
        <v>1668</v>
      </c>
      <c r="B90" s="1927"/>
      <c r="C90" s="2083"/>
      <c r="D90" s="2083"/>
      <c r="E90" s="839"/>
      <c r="F90" s="839"/>
      <c r="G90" s="839"/>
      <c r="H90" s="839"/>
      <c r="I90" s="839"/>
      <c r="J90" s="839"/>
      <c r="K90" s="839"/>
    </row>
    <row r="91" spans="1:12" s="625" customFormat="1" ht="11.25" customHeight="1" x14ac:dyDescent="0.25">
      <c r="A91" s="1235" t="s">
        <v>33</v>
      </c>
      <c r="B91" s="1927"/>
      <c r="C91" s="2083"/>
      <c r="D91" s="2083"/>
      <c r="E91" s="839"/>
      <c r="F91" s="839"/>
      <c r="G91" s="839"/>
      <c r="H91" s="839"/>
      <c r="I91" s="839"/>
      <c r="J91" s="839"/>
      <c r="K91" s="839"/>
    </row>
    <row r="92" spans="1:12" s="625" customFormat="1" ht="11.25" customHeight="1" x14ac:dyDescent="0.25">
      <c r="A92" s="1235" t="s">
        <v>1340</v>
      </c>
      <c r="B92" s="1927"/>
      <c r="C92" s="2083"/>
      <c r="D92" s="2083"/>
      <c r="E92" s="839"/>
      <c r="F92" s="839"/>
      <c r="G92" s="839"/>
      <c r="H92" s="839"/>
      <c r="I92" s="839"/>
      <c r="J92" s="839"/>
      <c r="K92" s="839"/>
    </row>
    <row r="93" spans="1:12" s="625" customFormat="1" ht="11.25" customHeight="1" x14ac:dyDescent="0.25">
      <c r="A93" s="1235" t="s">
        <v>1341</v>
      </c>
      <c r="B93" s="1927"/>
      <c r="C93" s="2083"/>
      <c r="D93" s="2083"/>
      <c r="E93" s="839"/>
      <c r="F93" s="839"/>
      <c r="G93" s="839"/>
      <c r="H93" s="839"/>
      <c r="I93" s="839"/>
      <c r="J93" s="839"/>
      <c r="K93" s="839"/>
    </row>
    <row r="94" spans="1:12" s="625" customFormat="1" ht="11.25" customHeight="1" x14ac:dyDescent="0.25">
      <c r="A94" s="1235" t="s">
        <v>389</v>
      </c>
      <c r="B94" s="1927"/>
      <c r="C94" s="2083"/>
      <c r="D94" s="2083"/>
      <c r="E94" s="839"/>
      <c r="F94" s="839"/>
      <c r="G94" s="839"/>
      <c r="H94" s="839"/>
      <c r="I94" s="839"/>
      <c r="J94" s="839"/>
      <c r="K94" s="839"/>
    </row>
    <row r="95" spans="1:12" s="625" customFormat="1" ht="11.25" customHeight="1" x14ac:dyDescent="0.25">
      <c r="A95" s="2622"/>
      <c r="B95" s="1927"/>
      <c r="C95" s="2083"/>
      <c r="D95" s="2083"/>
      <c r="E95" s="839"/>
      <c r="F95" s="839"/>
      <c r="G95" s="839"/>
      <c r="H95" s="839"/>
      <c r="I95" s="839"/>
      <c r="J95" s="839"/>
      <c r="K95" s="839"/>
    </row>
    <row r="96" spans="1:12" ht="11.25" customHeight="1" x14ac:dyDescent="0.25">
      <c r="A96" s="328"/>
      <c r="B96" s="388"/>
      <c r="C96" s="233"/>
      <c r="D96" s="233"/>
      <c r="E96" s="234"/>
      <c r="F96" s="234"/>
      <c r="G96" s="234"/>
      <c r="H96" s="234"/>
      <c r="I96" s="234"/>
      <c r="J96" s="234"/>
      <c r="K96" s="234"/>
    </row>
    <row r="97" spans="1:11" ht="11.25" customHeight="1" x14ac:dyDescent="0.25">
      <c r="A97" s="2047" t="s">
        <v>296</v>
      </c>
      <c r="B97" s="2048"/>
      <c r="C97" s="519">
        <v>0</v>
      </c>
      <c r="D97" s="519">
        <v>0.28999999724328518</v>
      </c>
      <c r="E97" s="519">
        <v>0</v>
      </c>
      <c r="F97" s="519">
        <v>0</v>
      </c>
      <c r="G97" s="519">
        <v>0</v>
      </c>
      <c r="H97" s="519">
        <v>0</v>
      </c>
      <c r="I97" s="519">
        <v>0</v>
      </c>
      <c r="J97" s="519">
        <v>0</v>
      </c>
      <c r="K97" s="519">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2">
    <mergeCell ref="F2:H2"/>
    <mergeCell ref="I2:K2"/>
  </mergeCells>
  <phoneticPr fontId="4" type="noConversion"/>
  <pageMargins left="0.75" right="0.75" top="1" bottom="1" header="0.5" footer="0.5"/>
  <pageSetup scale="61"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enableFormatConditionsCalculation="0">
    <tabColor indexed="42"/>
    <pageSetUpPr fitToPage="1"/>
  </sheetPr>
  <dimension ref="A1:O133"/>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1.5703125" style="148" customWidth="1"/>
    <col min="2" max="2" width="3" style="242"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46" t="s">
        <v>2558</v>
      </c>
      <c r="B1" s="146"/>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1"/>
      <c r="I2" s="2697" t="s">
        <v>2482</v>
      </c>
      <c r="J2" s="2698"/>
      <c r="K2" s="2699"/>
    </row>
    <row r="3" spans="1:12" ht="25.5" x14ac:dyDescent="0.25">
      <c r="A3" s="179" t="s">
        <v>667</v>
      </c>
      <c r="B3" s="787">
        <v>1</v>
      </c>
      <c r="C3" s="2009" t="s">
        <v>1065</v>
      </c>
      <c r="D3" s="2016" t="s">
        <v>1065</v>
      </c>
      <c r="E3" s="354" t="s">
        <v>1065</v>
      </c>
      <c r="F3" s="2004" t="s">
        <v>467</v>
      </c>
      <c r="G3" s="2009" t="s">
        <v>1807</v>
      </c>
      <c r="H3" s="2018" t="s">
        <v>1808</v>
      </c>
      <c r="I3" s="2004" t="s">
        <v>2483</v>
      </c>
      <c r="J3" s="2009" t="s">
        <v>2484</v>
      </c>
      <c r="K3" s="354" t="s">
        <v>2485</v>
      </c>
    </row>
    <row r="4" spans="1:12" ht="11.25" customHeight="1" x14ac:dyDescent="0.25">
      <c r="A4" s="680" t="s">
        <v>1234</v>
      </c>
      <c r="B4" s="632"/>
      <c r="C4" s="2604"/>
      <c r="D4" s="749"/>
      <c r="E4" s="774"/>
      <c r="F4" s="773"/>
      <c r="G4" s="749"/>
      <c r="H4" s="750"/>
      <c r="I4" s="773"/>
      <c r="J4" s="749"/>
      <c r="K4" s="774"/>
    </row>
    <row r="5" spans="1:12" ht="5.0999999999999996" customHeight="1" x14ac:dyDescent="0.25">
      <c r="A5" s="244"/>
      <c r="B5" s="181"/>
      <c r="C5" s="776"/>
      <c r="D5" s="776"/>
      <c r="E5" s="779"/>
      <c r="F5" s="778"/>
      <c r="G5" s="776"/>
      <c r="H5" s="2106"/>
      <c r="I5" s="778"/>
      <c r="J5" s="776"/>
      <c r="K5" s="779"/>
    </row>
    <row r="6" spans="1:12" ht="11.25" customHeight="1" x14ac:dyDescent="0.25">
      <c r="A6" s="244" t="s">
        <v>979</v>
      </c>
      <c r="B6" s="181"/>
      <c r="C6" s="357">
        <v>0</v>
      </c>
      <c r="D6" s="357">
        <v>0</v>
      </c>
      <c r="E6" s="313">
        <v>0</v>
      </c>
      <c r="F6" s="358">
        <v>0</v>
      </c>
      <c r="G6" s="357">
        <v>0</v>
      </c>
      <c r="H6" s="359">
        <v>0</v>
      </c>
      <c r="I6" s="358">
        <v>0</v>
      </c>
      <c r="J6" s="357">
        <v>0</v>
      </c>
      <c r="K6" s="313">
        <v>0</v>
      </c>
      <c r="L6" s="1269"/>
    </row>
    <row r="7" spans="1:12" s="1248" customFormat="1" ht="13.5" x14ac:dyDescent="0.25">
      <c r="A7" s="245" t="s">
        <v>537</v>
      </c>
      <c r="B7" s="181"/>
      <c r="C7" s="884">
        <v>0</v>
      </c>
      <c r="D7" s="884">
        <v>0</v>
      </c>
      <c r="E7" s="1144">
        <v>0</v>
      </c>
      <c r="F7" s="885">
        <v>0</v>
      </c>
      <c r="G7" s="884">
        <v>0</v>
      </c>
      <c r="H7" s="920">
        <v>0</v>
      </c>
      <c r="I7" s="1145">
        <v>0</v>
      </c>
      <c r="J7" s="884">
        <v>0</v>
      </c>
      <c r="K7" s="920">
        <v>0</v>
      </c>
      <c r="L7" s="338"/>
    </row>
    <row r="8" spans="1:12" s="1248" customFormat="1" ht="13.5" x14ac:dyDescent="0.25">
      <c r="A8" s="1029" t="s">
        <v>538</v>
      </c>
      <c r="B8" s="181"/>
      <c r="C8" s="1030">
        <v>0</v>
      </c>
      <c r="D8" s="1030">
        <v>0</v>
      </c>
      <c r="E8" s="1065">
        <v>0</v>
      </c>
      <c r="F8" s="1066">
        <v>0</v>
      </c>
      <c r="G8" s="1030">
        <v>0</v>
      </c>
      <c r="H8" s="1067">
        <v>0</v>
      </c>
      <c r="I8" s="1066">
        <v>0</v>
      </c>
      <c r="J8" s="1030">
        <v>0</v>
      </c>
      <c r="K8" s="1065">
        <v>0</v>
      </c>
      <c r="L8" s="1269"/>
    </row>
    <row r="9" spans="1:12" s="1248" customFormat="1" ht="13.5" x14ac:dyDescent="0.25">
      <c r="A9" s="1029" t="s">
        <v>539</v>
      </c>
      <c r="B9" s="181"/>
      <c r="C9" s="1030">
        <v>0</v>
      </c>
      <c r="D9" s="1030">
        <v>0</v>
      </c>
      <c r="E9" s="1065">
        <v>0</v>
      </c>
      <c r="F9" s="1066">
        <v>0</v>
      </c>
      <c r="G9" s="1030">
        <v>0</v>
      </c>
      <c r="H9" s="1067">
        <v>0</v>
      </c>
      <c r="I9" s="1066">
        <v>0</v>
      </c>
      <c r="J9" s="1030">
        <v>0</v>
      </c>
      <c r="K9" s="1065">
        <v>0</v>
      </c>
      <c r="L9" s="1270"/>
    </row>
    <row r="10" spans="1:12" s="1248" customFormat="1" ht="13.5" x14ac:dyDescent="0.25">
      <c r="A10" s="245" t="s">
        <v>21</v>
      </c>
      <c r="B10" s="181"/>
      <c r="C10" s="852">
        <v>0</v>
      </c>
      <c r="D10" s="852">
        <v>0</v>
      </c>
      <c r="E10" s="1146">
        <v>0</v>
      </c>
      <c r="F10" s="856">
        <v>0</v>
      </c>
      <c r="G10" s="852">
        <v>0</v>
      </c>
      <c r="H10" s="923">
        <v>0</v>
      </c>
      <c r="I10" s="1147">
        <v>0</v>
      </c>
      <c r="J10" s="852">
        <v>0</v>
      </c>
      <c r="K10" s="923">
        <v>0</v>
      </c>
      <c r="L10" s="1270"/>
    </row>
    <row r="11" spans="1:12" s="1248" customFormat="1" ht="13.5" x14ac:dyDescent="0.25">
      <c r="A11" s="1029" t="s">
        <v>22</v>
      </c>
      <c r="B11" s="181"/>
      <c r="C11" s="1030">
        <v>0</v>
      </c>
      <c r="D11" s="1030">
        <v>0</v>
      </c>
      <c r="E11" s="2024">
        <v>0</v>
      </c>
      <c r="F11" s="1031">
        <v>0</v>
      </c>
      <c r="G11" s="1030">
        <v>0</v>
      </c>
      <c r="H11" s="2025">
        <v>0</v>
      </c>
      <c r="I11" s="2026">
        <v>0</v>
      </c>
      <c r="J11" s="1030">
        <v>0</v>
      </c>
      <c r="K11" s="2025">
        <v>0</v>
      </c>
      <c r="L11" s="1270"/>
    </row>
    <row r="12" spans="1:12" s="1248" customFormat="1" ht="13.5" x14ac:dyDescent="0.25">
      <c r="A12" s="1029" t="s">
        <v>23</v>
      </c>
      <c r="B12" s="181"/>
      <c r="C12" s="1030">
        <v>0</v>
      </c>
      <c r="D12" s="1030">
        <v>0</v>
      </c>
      <c r="E12" s="2024">
        <v>0</v>
      </c>
      <c r="F12" s="1031">
        <v>0</v>
      </c>
      <c r="G12" s="1030">
        <v>0</v>
      </c>
      <c r="H12" s="2025">
        <v>0</v>
      </c>
      <c r="I12" s="2026">
        <v>0</v>
      </c>
      <c r="J12" s="1030">
        <v>0</v>
      </c>
      <c r="K12" s="2025">
        <v>0</v>
      </c>
      <c r="L12" s="1270"/>
    </row>
    <row r="13" spans="1:12" s="1248" customFormat="1" ht="13.5" x14ac:dyDescent="0.25">
      <c r="A13" s="1029" t="s">
        <v>137</v>
      </c>
      <c r="B13" s="181"/>
      <c r="C13" s="1030">
        <v>0</v>
      </c>
      <c r="D13" s="1030">
        <v>0</v>
      </c>
      <c r="E13" s="2024">
        <v>0</v>
      </c>
      <c r="F13" s="1031">
        <v>0</v>
      </c>
      <c r="G13" s="1030">
        <v>0</v>
      </c>
      <c r="H13" s="2025">
        <v>0</v>
      </c>
      <c r="I13" s="2026">
        <v>0</v>
      </c>
      <c r="J13" s="1030">
        <v>0</v>
      </c>
      <c r="K13" s="2025">
        <v>0</v>
      </c>
      <c r="L13" s="1270"/>
    </row>
    <row r="14" spans="1:12" s="1248" customFormat="1" ht="13.5" x14ac:dyDescent="0.25">
      <c r="A14" s="249" t="s">
        <v>24</v>
      </c>
      <c r="B14" s="318"/>
      <c r="C14" s="852">
        <v>0</v>
      </c>
      <c r="D14" s="852">
        <v>0</v>
      </c>
      <c r="E14" s="1146">
        <v>0</v>
      </c>
      <c r="F14" s="856">
        <v>0</v>
      </c>
      <c r="G14" s="852">
        <v>0</v>
      </c>
      <c r="H14" s="923">
        <v>0</v>
      </c>
      <c r="I14" s="1147">
        <v>0</v>
      </c>
      <c r="J14" s="852">
        <v>0</v>
      </c>
      <c r="K14" s="923">
        <v>0</v>
      </c>
      <c r="L14" s="1270"/>
    </row>
    <row r="15" spans="1:12" s="1248" customFormat="1" ht="13.5" x14ac:dyDescent="0.25">
      <c r="A15" s="1029" t="s">
        <v>25</v>
      </c>
      <c r="B15" s="181"/>
      <c r="C15" s="1030">
        <v>0</v>
      </c>
      <c r="D15" s="1030">
        <v>0</v>
      </c>
      <c r="E15" s="2024">
        <v>0</v>
      </c>
      <c r="F15" s="1031">
        <v>0</v>
      </c>
      <c r="G15" s="1030">
        <v>0</v>
      </c>
      <c r="H15" s="2025">
        <v>0</v>
      </c>
      <c r="I15" s="2026">
        <v>0</v>
      </c>
      <c r="J15" s="1030">
        <v>0</v>
      </c>
      <c r="K15" s="2025">
        <v>0</v>
      </c>
      <c r="L15" s="1270"/>
    </row>
    <row r="16" spans="1:12" s="1248" customFormat="1" ht="13.5" x14ac:dyDescent="0.25">
      <c r="A16" s="1029" t="s">
        <v>26</v>
      </c>
      <c r="B16" s="181"/>
      <c r="C16" s="1030">
        <v>0</v>
      </c>
      <c r="D16" s="1030">
        <v>0</v>
      </c>
      <c r="E16" s="2024">
        <v>0</v>
      </c>
      <c r="F16" s="1031">
        <v>0</v>
      </c>
      <c r="G16" s="1030">
        <v>0</v>
      </c>
      <c r="H16" s="2025">
        <v>0</v>
      </c>
      <c r="I16" s="2026">
        <v>0</v>
      </c>
      <c r="J16" s="1030">
        <v>0</v>
      </c>
      <c r="K16" s="2025">
        <v>0</v>
      </c>
      <c r="L16" s="1270"/>
    </row>
    <row r="17" spans="1:12" s="1248" customFormat="1" ht="13.5" x14ac:dyDescent="0.25">
      <c r="A17" s="1029" t="s">
        <v>27</v>
      </c>
      <c r="B17" s="181"/>
      <c r="C17" s="1030">
        <v>0</v>
      </c>
      <c r="D17" s="1030">
        <v>0</v>
      </c>
      <c r="E17" s="2024">
        <v>0</v>
      </c>
      <c r="F17" s="1031">
        <v>0</v>
      </c>
      <c r="G17" s="1030">
        <v>0</v>
      </c>
      <c r="H17" s="2025">
        <v>0</v>
      </c>
      <c r="I17" s="2026">
        <v>0</v>
      </c>
      <c r="J17" s="1030">
        <v>0</v>
      </c>
      <c r="K17" s="2025">
        <v>0</v>
      </c>
      <c r="L17" s="1270"/>
    </row>
    <row r="18" spans="1:12" s="1248" customFormat="1" ht="13.5" x14ac:dyDescent="0.25">
      <c r="A18" s="249" t="s">
        <v>28</v>
      </c>
      <c r="B18" s="181"/>
      <c r="C18" s="852">
        <v>0</v>
      </c>
      <c r="D18" s="852">
        <v>0</v>
      </c>
      <c r="E18" s="1146">
        <v>0</v>
      </c>
      <c r="F18" s="856">
        <v>0</v>
      </c>
      <c r="G18" s="852">
        <v>0</v>
      </c>
      <c r="H18" s="923">
        <v>0</v>
      </c>
      <c r="I18" s="1147">
        <v>0</v>
      </c>
      <c r="J18" s="852">
        <v>0</v>
      </c>
      <c r="K18" s="923">
        <v>0</v>
      </c>
      <c r="L18" s="1270"/>
    </row>
    <row r="19" spans="1:12" s="1248" customFormat="1" ht="13.5" x14ac:dyDescent="0.25">
      <c r="A19" s="1029" t="s">
        <v>27</v>
      </c>
      <c r="B19" s="181"/>
      <c r="C19" s="1030">
        <v>0</v>
      </c>
      <c r="D19" s="1030">
        <v>0</v>
      </c>
      <c r="E19" s="2024">
        <v>0</v>
      </c>
      <c r="F19" s="1031">
        <v>0</v>
      </c>
      <c r="G19" s="1030">
        <v>0</v>
      </c>
      <c r="H19" s="2025">
        <v>0</v>
      </c>
      <c r="I19" s="2026">
        <v>0</v>
      </c>
      <c r="J19" s="1030">
        <v>0</v>
      </c>
      <c r="K19" s="2025">
        <v>0</v>
      </c>
      <c r="L19" s="1270"/>
    </row>
    <row r="20" spans="1:12" s="1248" customFormat="1" ht="13.5" x14ac:dyDescent="0.25">
      <c r="A20" s="1029" t="s">
        <v>29</v>
      </c>
      <c r="B20" s="181"/>
      <c r="C20" s="1030">
        <v>0</v>
      </c>
      <c r="D20" s="1030">
        <v>0</v>
      </c>
      <c r="E20" s="2024">
        <v>0</v>
      </c>
      <c r="F20" s="1031">
        <v>0</v>
      </c>
      <c r="G20" s="1030">
        <v>0</v>
      </c>
      <c r="H20" s="2025">
        <v>0</v>
      </c>
      <c r="I20" s="2026">
        <v>0</v>
      </c>
      <c r="J20" s="1030">
        <v>0</v>
      </c>
      <c r="K20" s="2025">
        <v>0</v>
      </c>
      <c r="L20" s="1270"/>
    </row>
    <row r="21" spans="1:12" s="1248" customFormat="1" ht="13.5" x14ac:dyDescent="0.25">
      <c r="A21" s="245" t="s">
        <v>30</v>
      </c>
      <c r="B21" s="181"/>
      <c r="C21" s="852">
        <v>0</v>
      </c>
      <c r="D21" s="852">
        <v>0</v>
      </c>
      <c r="E21" s="852">
        <v>0</v>
      </c>
      <c r="F21" s="856">
        <v>0</v>
      </c>
      <c r="G21" s="852">
        <v>0</v>
      </c>
      <c r="H21" s="923">
        <v>0</v>
      </c>
      <c r="I21" s="1147">
        <v>0</v>
      </c>
      <c r="J21" s="852">
        <v>0</v>
      </c>
      <c r="K21" s="923">
        <v>0</v>
      </c>
      <c r="L21" s="1270"/>
    </row>
    <row r="22" spans="1:12" s="1248" customFormat="1" ht="13.5" x14ac:dyDescent="0.25">
      <c r="A22" s="1029" t="s">
        <v>1090</v>
      </c>
      <c r="B22" s="181"/>
      <c r="C22" s="1030">
        <v>0</v>
      </c>
      <c r="D22" s="1030">
        <v>0</v>
      </c>
      <c r="E22" s="1067">
        <v>0</v>
      </c>
      <c r="F22" s="1066">
        <v>0</v>
      </c>
      <c r="G22" s="1030">
        <v>0</v>
      </c>
      <c r="H22" s="1067">
        <v>0</v>
      </c>
      <c r="I22" s="1066">
        <v>0</v>
      </c>
      <c r="J22" s="1030">
        <v>0</v>
      </c>
      <c r="K22" s="2025">
        <v>0</v>
      </c>
      <c r="L22" s="1269"/>
    </row>
    <row r="23" spans="1:12" s="1248" customFormat="1" ht="13.5" x14ac:dyDescent="0.25">
      <c r="A23" s="1029" t="s">
        <v>321</v>
      </c>
      <c r="B23" s="181">
        <v>2</v>
      </c>
      <c r="C23" s="1030">
        <v>0</v>
      </c>
      <c r="D23" s="1030">
        <v>0</v>
      </c>
      <c r="E23" s="1065">
        <v>0</v>
      </c>
      <c r="F23" s="1066">
        <v>0</v>
      </c>
      <c r="G23" s="1030">
        <v>0</v>
      </c>
      <c r="H23" s="1067">
        <v>0</v>
      </c>
      <c r="I23" s="1066">
        <v>0</v>
      </c>
      <c r="J23" s="1030">
        <v>0</v>
      </c>
      <c r="K23" s="2025">
        <v>0</v>
      </c>
      <c r="L23" s="1270"/>
    </row>
    <row r="24" spans="1:12" s="1248" customFormat="1" ht="13.5" x14ac:dyDescent="0.25">
      <c r="A24" s="1029" t="s">
        <v>138</v>
      </c>
      <c r="B24" s="181"/>
      <c r="C24" s="1030">
        <v>0</v>
      </c>
      <c r="D24" s="1030">
        <v>0</v>
      </c>
      <c r="E24" s="1065">
        <v>0</v>
      </c>
      <c r="F24" s="1066">
        <v>0</v>
      </c>
      <c r="G24" s="1030">
        <v>0</v>
      </c>
      <c r="H24" s="1067">
        <v>0</v>
      </c>
      <c r="I24" s="1066">
        <v>0</v>
      </c>
      <c r="J24" s="1030">
        <v>0</v>
      </c>
      <c r="K24" s="1065">
        <v>0</v>
      </c>
      <c r="L24" s="1270"/>
    </row>
    <row r="25" spans="1:12" s="1248" customFormat="1" ht="13.5" x14ac:dyDescent="0.25">
      <c r="A25" s="1029" t="s">
        <v>293</v>
      </c>
      <c r="B25" s="181">
        <v>3</v>
      </c>
      <c r="C25" s="1030">
        <v>0</v>
      </c>
      <c r="D25" s="1030">
        <v>0</v>
      </c>
      <c r="E25" s="1065">
        <v>0</v>
      </c>
      <c r="F25" s="1066">
        <v>0</v>
      </c>
      <c r="G25" s="1030">
        <v>0</v>
      </c>
      <c r="H25" s="1067">
        <v>0</v>
      </c>
      <c r="I25" s="1066">
        <v>0</v>
      </c>
      <c r="J25" s="1030">
        <v>0</v>
      </c>
      <c r="K25" s="1065">
        <v>0</v>
      </c>
      <c r="L25" s="1270"/>
    </row>
    <row r="26" spans="1:12" ht="5.0999999999999996" customHeight="1" x14ac:dyDescent="0.25">
      <c r="A26" s="265"/>
      <c r="B26" s="181"/>
      <c r="C26" s="205"/>
      <c r="D26" s="205"/>
      <c r="E26" s="256"/>
      <c r="F26" s="246"/>
      <c r="G26" s="205"/>
      <c r="H26" s="208"/>
      <c r="I26" s="246"/>
      <c r="J26" s="205"/>
      <c r="K26" s="256"/>
      <c r="L26" s="338"/>
    </row>
    <row r="27" spans="1:12" ht="17.25" customHeight="1" x14ac:dyDescent="0.25">
      <c r="A27" s="244" t="s">
        <v>1575</v>
      </c>
      <c r="B27" s="181"/>
      <c r="C27" s="357">
        <v>0</v>
      </c>
      <c r="D27" s="357">
        <v>0</v>
      </c>
      <c r="E27" s="313">
        <v>0</v>
      </c>
      <c r="F27" s="358">
        <v>0</v>
      </c>
      <c r="G27" s="357">
        <v>0</v>
      </c>
      <c r="H27" s="359">
        <v>0</v>
      </c>
      <c r="I27" s="358">
        <v>0</v>
      </c>
      <c r="J27" s="357">
        <v>0</v>
      </c>
      <c r="K27" s="313">
        <v>0</v>
      </c>
      <c r="L27" s="338"/>
    </row>
    <row r="28" spans="1:12" ht="11.25" customHeight="1" x14ac:dyDescent="0.25">
      <c r="A28" s="245" t="s">
        <v>2</v>
      </c>
      <c r="B28" s="181"/>
      <c r="C28" s="2027">
        <v>0</v>
      </c>
      <c r="D28" s="2027">
        <v>0</v>
      </c>
      <c r="E28" s="2605">
        <v>0</v>
      </c>
      <c r="F28" s="2602">
        <v>0</v>
      </c>
      <c r="G28" s="2027">
        <v>0</v>
      </c>
      <c r="H28" s="2606">
        <v>0</v>
      </c>
      <c r="I28" s="2602">
        <v>0</v>
      </c>
      <c r="J28" s="2027">
        <v>0</v>
      </c>
      <c r="K28" s="2605">
        <v>0</v>
      </c>
      <c r="L28" s="1270"/>
    </row>
    <row r="29" spans="1:12" ht="11.25" customHeight="1" x14ac:dyDescent="0.25">
      <c r="A29" s="245" t="s">
        <v>1595</v>
      </c>
      <c r="B29" s="181"/>
      <c r="C29" s="1030">
        <v>0</v>
      </c>
      <c r="D29" s="1030">
        <v>0</v>
      </c>
      <c r="E29" s="1065">
        <v>0</v>
      </c>
      <c r="F29" s="1066">
        <v>0</v>
      </c>
      <c r="G29" s="1030">
        <v>0</v>
      </c>
      <c r="H29" s="1067">
        <v>0</v>
      </c>
      <c r="I29" s="1066">
        <v>0</v>
      </c>
      <c r="J29" s="1030">
        <v>0</v>
      </c>
      <c r="K29" s="1065">
        <v>0</v>
      </c>
      <c r="L29" s="1270"/>
    </row>
    <row r="30" spans="1:12" ht="11.25" customHeight="1" x14ac:dyDescent="0.25">
      <c r="A30" s="245" t="s">
        <v>506</v>
      </c>
      <c r="B30" s="181"/>
      <c r="C30" s="1030">
        <v>0</v>
      </c>
      <c r="D30" s="1030">
        <v>0</v>
      </c>
      <c r="E30" s="1065">
        <v>0</v>
      </c>
      <c r="F30" s="1066">
        <v>0</v>
      </c>
      <c r="G30" s="1030">
        <v>0</v>
      </c>
      <c r="H30" s="1067">
        <v>0</v>
      </c>
      <c r="I30" s="1066">
        <v>0</v>
      </c>
      <c r="J30" s="1030">
        <v>0</v>
      </c>
      <c r="K30" s="1065">
        <v>0</v>
      </c>
      <c r="L30" s="1270"/>
    </row>
    <row r="31" spans="1:12" ht="11.25" customHeight="1" x14ac:dyDescent="0.25">
      <c r="A31" s="245" t="s">
        <v>1</v>
      </c>
      <c r="B31" s="181"/>
      <c r="C31" s="1030">
        <v>0</v>
      </c>
      <c r="D31" s="1030">
        <v>0</v>
      </c>
      <c r="E31" s="1065">
        <v>0</v>
      </c>
      <c r="F31" s="1066">
        <v>0</v>
      </c>
      <c r="G31" s="1030">
        <v>0</v>
      </c>
      <c r="H31" s="1067">
        <v>0</v>
      </c>
      <c r="I31" s="1066">
        <v>0</v>
      </c>
      <c r="J31" s="1030">
        <v>0</v>
      </c>
      <c r="K31" s="1065">
        <v>0</v>
      </c>
      <c r="L31" s="1270"/>
    </row>
    <row r="32" spans="1:12" ht="11.25" customHeight="1" x14ac:dyDescent="0.25">
      <c r="A32" s="245" t="s">
        <v>340</v>
      </c>
      <c r="B32" s="181"/>
      <c r="C32" s="1030">
        <v>0</v>
      </c>
      <c r="D32" s="1030">
        <v>0</v>
      </c>
      <c r="E32" s="1065">
        <v>0</v>
      </c>
      <c r="F32" s="1066">
        <v>0</v>
      </c>
      <c r="G32" s="1030">
        <v>0</v>
      </c>
      <c r="H32" s="1067">
        <v>0</v>
      </c>
      <c r="I32" s="1066">
        <v>0</v>
      </c>
      <c r="J32" s="1030">
        <v>0</v>
      </c>
      <c r="K32" s="1065">
        <v>0</v>
      </c>
      <c r="L32" s="1270"/>
    </row>
    <row r="33" spans="1:15" ht="11.25" customHeight="1" x14ac:dyDescent="0.25">
      <c r="A33" s="245" t="s">
        <v>0</v>
      </c>
      <c r="B33" s="181"/>
      <c r="C33" s="1030">
        <v>0</v>
      </c>
      <c r="D33" s="1030">
        <v>0</v>
      </c>
      <c r="E33" s="1065">
        <v>0</v>
      </c>
      <c r="F33" s="1066">
        <v>0</v>
      </c>
      <c r="G33" s="1030">
        <v>0</v>
      </c>
      <c r="H33" s="1067">
        <v>0</v>
      </c>
      <c r="I33" s="1066">
        <v>0</v>
      </c>
      <c r="J33" s="1030">
        <v>0</v>
      </c>
      <c r="K33" s="1065">
        <v>0</v>
      </c>
      <c r="L33" s="1270"/>
    </row>
    <row r="34" spans="1:15" ht="11.25" customHeight="1" x14ac:dyDescent="0.25">
      <c r="A34" s="245" t="s">
        <v>1596</v>
      </c>
      <c r="B34" s="181"/>
      <c r="C34" s="1030">
        <v>0</v>
      </c>
      <c r="D34" s="1030">
        <v>0</v>
      </c>
      <c r="E34" s="1065">
        <v>0</v>
      </c>
      <c r="F34" s="1066">
        <v>0</v>
      </c>
      <c r="G34" s="1030">
        <v>0</v>
      </c>
      <c r="H34" s="1067">
        <v>0</v>
      </c>
      <c r="I34" s="1066">
        <v>0</v>
      </c>
      <c r="J34" s="1030">
        <v>0</v>
      </c>
      <c r="K34" s="1065">
        <v>0</v>
      </c>
      <c r="L34" s="1270"/>
    </row>
    <row r="35" spans="1:15" ht="11.25" customHeight="1" x14ac:dyDescent="0.25">
      <c r="A35" s="245" t="s">
        <v>964</v>
      </c>
      <c r="B35" s="181"/>
      <c r="C35" s="1030">
        <v>0</v>
      </c>
      <c r="D35" s="1030">
        <v>0</v>
      </c>
      <c r="E35" s="1065">
        <v>0</v>
      </c>
      <c r="F35" s="1066">
        <v>0</v>
      </c>
      <c r="G35" s="1030">
        <v>0</v>
      </c>
      <c r="H35" s="1067">
        <v>0</v>
      </c>
      <c r="I35" s="1066">
        <v>0</v>
      </c>
      <c r="J35" s="1030">
        <v>0</v>
      </c>
      <c r="K35" s="1065">
        <v>0</v>
      </c>
      <c r="L35" s="1270"/>
    </row>
    <row r="36" spans="1:15" ht="11.25" customHeight="1" x14ac:dyDescent="0.25">
      <c r="A36" s="245" t="s">
        <v>1531</v>
      </c>
      <c r="B36" s="181">
        <v>7</v>
      </c>
      <c r="C36" s="1030">
        <v>0</v>
      </c>
      <c r="D36" s="1030">
        <v>0</v>
      </c>
      <c r="E36" s="1065">
        <v>0</v>
      </c>
      <c r="F36" s="1066">
        <v>0</v>
      </c>
      <c r="G36" s="1030">
        <v>0</v>
      </c>
      <c r="H36" s="1067">
        <v>0</v>
      </c>
      <c r="I36" s="1066">
        <v>0</v>
      </c>
      <c r="J36" s="1030">
        <v>0</v>
      </c>
      <c r="K36" s="1065">
        <v>0</v>
      </c>
      <c r="L36" s="1270"/>
    </row>
    <row r="37" spans="1:15" ht="11.25" customHeight="1" x14ac:dyDescent="0.25">
      <c r="A37" s="245" t="s">
        <v>1289</v>
      </c>
      <c r="B37" s="181"/>
      <c r="C37" s="1030">
        <v>0</v>
      </c>
      <c r="D37" s="1030">
        <v>0</v>
      </c>
      <c r="E37" s="1065">
        <v>0</v>
      </c>
      <c r="F37" s="1066">
        <v>0</v>
      </c>
      <c r="G37" s="1030">
        <v>0</v>
      </c>
      <c r="H37" s="1067">
        <v>0</v>
      </c>
      <c r="I37" s="1066">
        <v>0</v>
      </c>
      <c r="J37" s="1030">
        <v>0</v>
      </c>
      <c r="K37" s="1065">
        <v>0</v>
      </c>
      <c r="L37" s="1270"/>
      <c r="O37" s="338"/>
    </row>
    <row r="38" spans="1:15" ht="11.25" customHeight="1" x14ac:dyDescent="0.25">
      <c r="A38" s="245" t="s">
        <v>724</v>
      </c>
      <c r="B38" s="181"/>
      <c r="C38" s="1030">
        <v>0</v>
      </c>
      <c r="D38" s="1030">
        <v>0</v>
      </c>
      <c r="E38" s="1065">
        <v>0</v>
      </c>
      <c r="F38" s="1066">
        <v>0</v>
      </c>
      <c r="G38" s="1030">
        <v>0</v>
      </c>
      <c r="H38" s="1067">
        <v>0</v>
      </c>
      <c r="I38" s="1066">
        <v>0</v>
      </c>
      <c r="J38" s="1030">
        <v>0</v>
      </c>
      <c r="K38" s="1065">
        <v>0</v>
      </c>
      <c r="L38" s="1270"/>
    </row>
    <row r="39" spans="1:15" ht="11.25" customHeight="1" x14ac:dyDescent="0.25">
      <c r="A39" s="245" t="s">
        <v>504</v>
      </c>
      <c r="B39" s="181"/>
      <c r="C39" s="1030">
        <v>0</v>
      </c>
      <c r="D39" s="1030">
        <v>0</v>
      </c>
      <c r="E39" s="1065">
        <v>0</v>
      </c>
      <c r="F39" s="1066">
        <v>0</v>
      </c>
      <c r="G39" s="1030">
        <v>0</v>
      </c>
      <c r="H39" s="1067">
        <v>0</v>
      </c>
      <c r="I39" s="1066">
        <v>0</v>
      </c>
      <c r="J39" s="1030">
        <v>0</v>
      </c>
      <c r="K39" s="1065">
        <v>0</v>
      </c>
      <c r="L39" s="1270"/>
    </row>
    <row r="40" spans="1:15" ht="11.25" customHeight="1" x14ac:dyDescent="0.25">
      <c r="A40" s="245" t="s">
        <v>31</v>
      </c>
      <c r="B40" s="181">
        <v>8</v>
      </c>
      <c r="C40" s="1030">
        <v>0</v>
      </c>
      <c r="D40" s="1030">
        <v>0</v>
      </c>
      <c r="E40" s="1065">
        <v>0</v>
      </c>
      <c r="F40" s="1066">
        <v>0</v>
      </c>
      <c r="G40" s="1030">
        <v>0</v>
      </c>
      <c r="H40" s="1067">
        <v>0</v>
      </c>
      <c r="I40" s="1066">
        <v>0</v>
      </c>
      <c r="J40" s="1030">
        <v>0</v>
      </c>
      <c r="K40" s="1065">
        <v>0</v>
      </c>
      <c r="L40" s="338"/>
    </row>
    <row r="41" spans="1:15" ht="11.25" customHeight="1" x14ac:dyDescent="0.25">
      <c r="A41" s="245" t="s">
        <v>293</v>
      </c>
      <c r="B41" s="181"/>
      <c r="C41" s="2217">
        <v>0</v>
      </c>
      <c r="D41" s="2217">
        <v>0</v>
      </c>
      <c r="E41" s="2607">
        <v>0</v>
      </c>
      <c r="F41" s="2608">
        <v>0</v>
      </c>
      <c r="G41" s="2217">
        <v>0</v>
      </c>
      <c r="H41" s="2609">
        <v>0</v>
      </c>
      <c r="I41" s="2608">
        <v>0</v>
      </c>
      <c r="J41" s="2217">
        <v>0</v>
      </c>
      <c r="K41" s="2607">
        <v>0</v>
      </c>
      <c r="L41" s="1270"/>
    </row>
    <row r="42" spans="1:15" ht="5.0999999999999996" customHeight="1" x14ac:dyDescent="0.25">
      <c r="A42" s="265"/>
      <c r="B42" s="181"/>
      <c r="C42" s="205"/>
      <c r="D42" s="205"/>
      <c r="E42" s="256"/>
      <c r="F42" s="246"/>
      <c r="G42" s="205"/>
      <c r="H42" s="208"/>
      <c r="I42" s="246"/>
      <c r="J42" s="205"/>
      <c r="K42" s="256"/>
      <c r="L42" s="338"/>
    </row>
    <row r="43" spans="1:15" ht="17.25" customHeight="1" x14ac:dyDescent="0.25">
      <c r="A43" s="244" t="s">
        <v>967</v>
      </c>
      <c r="B43" s="181"/>
      <c r="C43" s="205">
        <v>0</v>
      </c>
      <c r="D43" s="205">
        <v>0</v>
      </c>
      <c r="E43" s="256">
        <v>0</v>
      </c>
      <c r="F43" s="246">
        <v>0</v>
      </c>
      <c r="G43" s="205">
        <v>0</v>
      </c>
      <c r="H43" s="208">
        <v>0</v>
      </c>
      <c r="I43" s="246">
        <v>0</v>
      </c>
      <c r="J43" s="205">
        <v>0</v>
      </c>
      <c r="K43" s="256">
        <v>0</v>
      </c>
      <c r="L43" s="338"/>
    </row>
    <row r="44" spans="1:15" ht="11.25" customHeight="1" x14ac:dyDescent="0.25">
      <c r="A44" s="245" t="s">
        <v>1261</v>
      </c>
      <c r="B44" s="181"/>
      <c r="C44" s="2032">
        <v>0</v>
      </c>
      <c r="D44" s="2032">
        <v>0</v>
      </c>
      <c r="E44" s="2610">
        <v>0</v>
      </c>
      <c r="F44" s="2611">
        <v>0</v>
      </c>
      <c r="G44" s="2032">
        <v>0</v>
      </c>
      <c r="H44" s="2612">
        <v>0</v>
      </c>
      <c r="I44" s="2611">
        <v>0</v>
      </c>
      <c r="J44" s="2032">
        <v>0</v>
      </c>
      <c r="K44" s="2610">
        <v>0</v>
      </c>
      <c r="L44" s="338"/>
    </row>
    <row r="45" spans="1:15" ht="11.25" customHeight="1" x14ac:dyDescent="0.25">
      <c r="A45" s="249" t="s">
        <v>293</v>
      </c>
      <c r="B45" s="181">
        <v>9</v>
      </c>
      <c r="C45" s="2123">
        <v>0</v>
      </c>
      <c r="D45" s="2123">
        <v>0</v>
      </c>
      <c r="E45" s="2613">
        <v>0</v>
      </c>
      <c r="F45" s="2614">
        <v>0</v>
      </c>
      <c r="G45" s="2123">
        <v>0</v>
      </c>
      <c r="H45" s="2615">
        <v>0</v>
      </c>
      <c r="I45" s="2614">
        <v>0</v>
      </c>
      <c r="J45" s="2123">
        <v>0</v>
      </c>
      <c r="K45" s="2613">
        <v>0</v>
      </c>
      <c r="L45" s="338"/>
    </row>
    <row r="46" spans="1:15" ht="5.0999999999999996" customHeight="1" x14ac:dyDescent="0.25">
      <c r="A46" s="658"/>
      <c r="B46" s="181"/>
      <c r="C46" s="205"/>
      <c r="D46" s="205"/>
      <c r="E46" s="256"/>
      <c r="F46" s="246"/>
      <c r="G46" s="205"/>
      <c r="H46" s="208"/>
      <c r="I46" s="246"/>
      <c r="J46" s="205"/>
      <c r="K46" s="256"/>
      <c r="L46" s="338"/>
    </row>
    <row r="47" spans="1:15" ht="17.25" customHeight="1" x14ac:dyDescent="0.25">
      <c r="A47" s="651" t="s">
        <v>968</v>
      </c>
      <c r="B47" s="181"/>
      <c r="C47" s="357">
        <v>0</v>
      </c>
      <c r="D47" s="357">
        <v>0</v>
      </c>
      <c r="E47" s="313">
        <v>0</v>
      </c>
      <c r="F47" s="358">
        <v>0</v>
      </c>
      <c r="G47" s="357">
        <v>0</v>
      </c>
      <c r="H47" s="359">
        <v>0</v>
      </c>
      <c r="I47" s="358">
        <v>0</v>
      </c>
      <c r="J47" s="357">
        <v>0</v>
      </c>
      <c r="K47" s="313">
        <v>0</v>
      </c>
      <c r="L47" s="338"/>
    </row>
    <row r="48" spans="1:15" ht="11.25" customHeight="1" x14ac:dyDescent="0.25">
      <c r="A48" s="249" t="s">
        <v>505</v>
      </c>
      <c r="B48" s="181"/>
      <c r="C48" s="2027">
        <v>0</v>
      </c>
      <c r="D48" s="2027">
        <v>0</v>
      </c>
      <c r="E48" s="2605">
        <v>0</v>
      </c>
      <c r="F48" s="2602">
        <v>0</v>
      </c>
      <c r="G48" s="2027">
        <v>0</v>
      </c>
      <c r="H48" s="2606">
        <v>0</v>
      </c>
      <c r="I48" s="2602">
        <v>0</v>
      </c>
      <c r="J48" s="2027">
        <v>0</v>
      </c>
      <c r="K48" s="2605">
        <v>0</v>
      </c>
      <c r="L48" s="1270"/>
    </row>
    <row r="49" spans="1:12" ht="11.25" customHeight="1" x14ac:dyDescent="0.25">
      <c r="A49" s="249" t="s">
        <v>293</v>
      </c>
      <c r="B49" s="181"/>
      <c r="C49" s="2217">
        <v>0</v>
      </c>
      <c r="D49" s="2217">
        <v>0</v>
      </c>
      <c r="E49" s="2607">
        <v>0</v>
      </c>
      <c r="F49" s="2608">
        <v>0</v>
      </c>
      <c r="G49" s="2217">
        <v>0</v>
      </c>
      <c r="H49" s="2609">
        <v>0</v>
      </c>
      <c r="I49" s="2608">
        <v>0</v>
      </c>
      <c r="J49" s="2217">
        <v>0</v>
      </c>
      <c r="K49" s="2607">
        <v>0</v>
      </c>
      <c r="L49" s="338"/>
    </row>
    <row r="50" spans="1:12" ht="5.0999999999999996" customHeight="1" x14ac:dyDescent="0.25">
      <c r="A50" s="658"/>
      <c r="B50" s="181"/>
      <c r="C50" s="205"/>
      <c r="D50" s="205"/>
      <c r="E50" s="256"/>
      <c r="F50" s="246"/>
      <c r="G50" s="205"/>
      <c r="H50" s="208"/>
      <c r="I50" s="246"/>
      <c r="J50" s="205"/>
      <c r="K50" s="256"/>
      <c r="L50" s="338"/>
    </row>
    <row r="51" spans="1:12" ht="17.25" customHeight="1" x14ac:dyDescent="0.25">
      <c r="A51" s="651" t="s">
        <v>969</v>
      </c>
      <c r="B51" s="181"/>
      <c r="C51" s="357">
        <v>0</v>
      </c>
      <c r="D51" s="357">
        <v>0</v>
      </c>
      <c r="E51" s="313">
        <v>0</v>
      </c>
      <c r="F51" s="358">
        <v>0</v>
      </c>
      <c r="G51" s="357">
        <v>0</v>
      </c>
      <c r="H51" s="359">
        <v>0</v>
      </c>
      <c r="I51" s="358">
        <v>0</v>
      </c>
      <c r="J51" s="357">
        <v>0</v>
      </c>
      <c r="K51" s="313">
        <v>0</v>
      </c>
      <c r="L51" s="338"/>
    </row>
    <row r="52" spans="1:12" ht="11.25" customHeight="1" x14ac:dyDescent="0.25">
      <c r="A52" s="249" t="s">
        <v>632</v>
      </c>
      <c r="B52" s="181"/>
      <c r="C52" s="2027">
        <v>0</v>
      </c>
      <c r="D52" s="2027">
        <v>0</v>
      </c>
      <c r="E52" s="2605">
        <v>0</v>
      </c>
      <c r="F52" s="2602">
        <v>0</v>
      </c>
      <c r="G52" s="2027">
        <v>0</v>
      </c>
      <c r="H52" s="2606">
        <v>0</v>
      </c>
      <c r="I52" s="2602">
        <v>0</v>
      </c>
      <c r="J52" s="2027">
        <v>0</v>
      </c>
      <c r="K52" s="2605">
        <v>0</v>
      </c>
      <c r="L52" s="1270"/>
    </row>
    <row r="53" spans="1:12" ht="11.25" customHeight="1" x14ac:dyDescent="0.25">
      <c r="A53" s="249" t="s">
        <v>32</v>
      </c>
      <c r="B53" s="181">
        <v>10</v>
      </c>
      <c r="C53" s="852">
        <v>0</v>
      </c>
      <c r="D53" s="852">
        <v>0</v>
      </c>
      <c r="E53" s="853">
        <v>0</v>
      </c>
      <c r="F53" s="854">
        <v>0</v>
      </c>
      <c r="G53" s="852">
        <v>0</v>
      </c>
      <c r="H53" s="855">
        <v>0</v>
      </c>
      <c r="I53" s="854">
        <v>0</v>
      </c>
      <c r="J53" s="852">
        <v>0</v>
      </c>
      <c r="K53" s="853">
        <v>0</v>
      </c>
      <c r="L53" s="338"/>
    </row>
    <row r="54" spans="1:12" ht="11.25" customHeight="1" x14ac:dyDescent="0.25">
      <c r="A54" s="249" t="s">
        <v>1249</v>
      </c>
      <c r="B54" s="181"/>
      <c r="C54" s="1030">
        <v>0</v>
      </c>
      <c r="D54" s="1030">
        <v>0</v>
      </c>
      <c r="E54" s="1065">
        <v>0</v>
      </c>
      <c r="F54" s="1066">
        <v>0</v>
      </c>
      <c r="G54" s="1030">
        <v>0</v>
      </c>
      <c r="H54" s="1067">
        <v>0</v>
      </c>
      <c r="I54" s="1066">
        <v>0</v>
      </c>
      <c r="J54" s="1030">
        <v>0</v>
      </c>
      <c r="K54" s="1065">
        <v>0</v>
      </c>
      <c r="L54" s="1270"/>
    </row>
    <row r="55" spans="1:12" ht="11.25" customHeight="1" x14ac:dyDescent="0.25">
      <c r="A55" s="249" t="s">
        <v>633</v>
      </c>
      <c r="B55" s="181"/>
      <c r="C55" s="1030">
        <v>0</v>
      </c>
      <c r="D55" s="1030">
        <v>0</v>
      </c>
      <c r="E55" s="1065">
        <v>0</v>
      </c>
      <c r="F55" s="1066">
        <v>0</v>
      </c>
      <c r="G55" s="1030">
        <v>0</v>
      </c>
      <c r="H55" s="1067">
        <v>0</v>
      </c>
      <c r="I55" s="1066">
        <v>0</v>
      </c>
      <c r="J55" s="1030">
        <v>0</v>
      </c>
      <c r="K55" s="1065">
        <v>0</v>
      </c>
      <c r="L55" s="1270"/>
    </row>
    <row r="56" spans="1:12" ht="11.25" customHeight="1" x14ac:dyDescent="0.25">
      <c r="A56" s="249" t="s">
        <v>634</v>
      </c>
      <c r="B56" s="181"/>
      <c r="C56" s="1030">
        <v>0</v>
      </c>
      <c r="D56" s="1030">
        <v>0</v>
      </c>
      <c r="E56" s="1065">
        <v>0</v>
      </c>
      <c r="F56" s="1066">
        <v>0</v>
      </c>
      <c r="G56" s="1030">
        <v>0</v>
      </c>
      <c r="H56" s="1067">
        <v>0</v>
      </c>
      <c r="I56" s="1066">
        <v>0</v>
      </c>
      <c r="J56" s="1030">
        <v>0</v>
      </c>
      <c r="K56" s="1065">
        <v>0</v>
      </c>
      <c r="L56" s="1270"/>
    </row>
    <row r="57" spans="1:12" ht="11.25" customHeight="1" x14ac:dyDescent="0.25">
      <c r="A57" s="249" t="s">
        <v>1250</v>
      </c>
      <c r="B57" s="181"/>
      <c r="C57" s="1030">
        <v>0</v>
      </c>
      <c r="D57" s="1030">
        <v>0</v>
      </c>
      <c r="E57" s="1065">
        <v>0</v>
      </c>
      <c r="F57" s="1066">
        <v>0</v>
      </c>
      <c r="G57" s="1030">
        <v>0</v>
      </c>
      <c r="H57" s="1067">
        <v>0</v>
      </c>
      <c r="I57" s="1066">
        <v>0</v>
      </c>
      <c r="J57" s="1030">
        <v>0</v>
      </c>
      <c r="K57" s="1065">
        <v>0</v>
      </c>
      <c r="L57" s="1270"/>
    </row>
    <row r="58" spans="1:12" ht="11.25" customHeight="1" x14ac:dyDescent="0.25">
      <c r="A58" s="249" t="s">
        <v>1251</v>
      </c>
      <c r="B58" s="181"/>
      <c r="C58" s="1030">
        <v>0</v>
      </c>
      <c r="D58" s="1030">
        <v>0</v>
      </c>
      <c r="E58" s="1065">
        <v>0</v>
      </c>
      <c r="F58" s="1066">
        <v>0</v>
      </c>
      <c r="G58" s="1030">
        <v>0</v>
      </c>
      <c r="H58" s="1067">
        <v>0</v>
      </c>
      <c r="I58" s="1066">
        <v>0</v>
      </c>
      <c r="J58" s="1030">
        <v>0</v>
      </c>
      <c r="K58" s="1065">
        <v>0</v>
      </c>
      <c r="L58" s="1269"/>
    </row>
    <row r="59" spans="1:12" ht="11.25" customHeight="1" x14ac:dyDescent="0.25">
      <c r="A59" s="249" t="s">
        <v>1529</v>
      </c>
      <c r="B59" s="181"/>
      <c r="C59" s="1030">
        <v>0</v>
      </c>
      <c r="D59" s="1030">
        <v>0</v>
      </c>
      <c r="E59" s="1065">
        <v>0</v>
      </c>
      <c r="F59" s="1066">
        <v>0</v>
      </c>
      <c r="G59" s="1030">
        <v>0</v>
      </c>
      <c r="H59" s="1067">
        <v>0</v>
      </c>
      <c r="I59" s="1066">
        <v>0</v>
      </c>
      <c r="J59" s="1030">
        <v>0</v>
      </c>
      <c r="K59" s="1065">
        <v>0</v>
      </c>
      <c r="L59" s="1270"/>
    </row>
    <row r="60" spans="1:12" ht="11.25" customHeight="1" x14ac:dyDescent="0.25">
      <c r="A60" s="249" t="s">
        <v>323</v>
      </c>
      <c r="B60" s="181"/>
      <c r="C60" s="1030">
        <v>0</v>
      </c>
      <c r="D60" s="1030">
        <v>0</v>
      </c>
      <c r="E60" s="1065">
        <v>0</v>
      </c>
      <c r="F60" s="1066">
        <v>0</v>
      </c>
      <c r="G60" s="1030">
        <v>0</v>
      </c>
      <c r="H60" s="1067">
        <v>0</v>
      </c>
      <c r="I60" s="1066">
        <v>0</v>
      </c>
      <c r="J60" s="1030">
        <v>0</v>
      </c>
      <c r="K60" s="1065">
        <v>0</v>
      </c>
      <c r="L60" s="1270"/>
    </row>
    <row r="61" spans="1:12" ht="11.25" customHeight="1" x14ac:dyDescent="0.25">
      <c r="A61" s="249" t="s">
        <v>322</v>
      </c>
      <c r="B61" s="181"/>
      <c r="C61" s="1030">
        <v>0</v>
      </c>
      <c r="D61" s="1030">
        <v>0</v>
      </c>
      <c r="E61" s="1065">
        <v>0</v>
      </c>
      <c r="F61" s="1066">
        <v>0</v>
      </c>
      <c r="G61" s="1030">
        <v>0</v>
      </c>
      <c r="H61" s="1067">
        <v>0</v>
      </c>
      <c r="I61" s="1066">
        <v>0</v>
      </c>
      <c r="J61" s="1030">
        <v>0</v>
      </c>
      <c r="K61" s="1065">
        <v>0</v>
      </c>
      <c r="L61" s="1270"/>
    </row>
    <row r="62" spans="1:12" ht="11.25" customHeight="1" x14ac:dyDescent="0.25">
      <c r="A62" s="249" t="s">
        <v>635</v>
      </c>
      <c r="B62" s="181"/>
      <c r="C62" s="1030">
        <v>0</v>
      </c>
      <c r="D62" s="1030">
        <v>0</v>
      </c>
      <c r="E62" s="1065">
        <v>0</v>
      </c>
      <c r="F62" s="1066">
        <v>0</v>
      </c>
      <c r="G62" s="1030">
        <v>0</v>
      </c>
      <c r="H62" s="1067">
        <v>0</v>
      </c>
      <c r="I62" s="1066">
        <v>0</v>
      </c>
      <c r="J62" s="1030">
        <v>0</v>
      </c>
      <c r="K62" s="1065">
        <v>0</v>
      </c>
      <c r="L62" s="1270"/>
    </row>
    <row r="63" spans="1:12" ht="11.25" customHeight="1" x14ac:dyDescent="0.25">
      <c r="A63" s="245" t="s">
        <v>293</v>
      </c>
      <c r="B63" s="181"/>
      <c r="C63" s="2217">
        <v>0</v>
      </c>
      <c r="D63" s="2217">
        <v>0</v>
      </c>
      <c r="E63" s="2607">
        <v>0</v>
      </c>
      <c r="F63" s="2608">
        <v>0</v>
      </c>
      <c r="G63" s="2217">
        <v>0</v>
      </c>
      <c r="H63" s="2609">
        <v>0</v>
      </c>
      <c r="I63" s="2608">
        <v>0</v>
      </c>
      <c r="J63" s="2217">
        <v>0</v>
      </c>
      <c r="K63" s="2607">
        <v>0</v>
      </c>
      <c r="L63" s="1270"/>
    </row>
    <row r="64" spans="1:12" ht="5.0999999999999996" customHeight="1" x14ac:dyDescent="0.25">
      <c r="A64" s="669"/>
      <c r="B64" s="181"/>
      <c r="C64" s="205"/>
      <c r="D64" s="205"/>
      <c r="E64" s="256"/>
      <c r="F64" s="246"/>
      <c r="G64" s="205"/>
      <c r="H64" s="208"/>
      <c r="I64" s="246"/>
      <c r="J64" s="205"/>
      <c r="K64" s="256"/>
      <c r="L64" s="338"/>
    </row>
    <row r="65" spans="1:12" ht="13.5" customHeight="1" x14ac:dyDescent="0.25">
      <c r="A65" s="244" t="s">
        <v>1544</v>
      </c>
      <c r="B65" s="181"/>
      <c r="C65" s="205">
        <v>0</v>
      </c>
      <c r="D65" s="205">
        <v>0</v>
      </c>
      <c r="E65" s="256">
        <v>0</v>
      </c>
      <c r="F65" s="246">
        <v>0</v>
      </c>
      <c r="G65" s="205">
        <v>0</v>
      </c>
      <c r="H65" s="208">
        <v>0</v>
      </c>
      <c r="I65" s="246">
        <v>0</v>
      </c>
      <c r="J65" s="205">
        <v>0</v>
      </c>
      <c r="K65" s="256">
        <v>0</v>
      </c>
      <c r="L65" s="338"/>
    </row>
    <row r="66" spans="1:12" ht="11.25" customHeight="1" x14ac:dyDescent="0.25">
      <c r="A66" s="1460" t="s">
        <v>1262</v>
      </c>
      <c r="B66" s="181"/>
      <c r="C66" s="2027">
        <v>0</v>
      </c>
      <c r="D66" s="2027">
        <v>0</v>
      </c>
      <c r="E66" s="2605">
        <v>0</v>
      </c>
      <c r="F66" s="2602">
        <v>0</v>
      </c>
      <c r="G66" s="2027">
        <v>0</v>
      </c>
      <c r="H66" s="2606">
        <v>0</v>
      </c>
      <c r="I66" s="2602">
        <v>0</v>
      </c>
      <c r="J66" s="2027">
        <v>0</v>
      </c>
      <c r="K66" s="2605">
        <v>0</v>
      </c>
      <c r="L66" s="338"/>
    </row>
    <row r="67" spans="1:12" ht="11.25" customHeight="1" x14ac:dyDescent="0.25">
      <c r="A67" s="1460"/>
      <c r="B67" s="181"/>
      <c r="C67" s="2217">
        <v>0</v>
      </c>
      <c r="D67" s="2217">
        <v>0</v>
      </c>
      <c r="E67" s="2607">
        <v>0</v>
      </c>
      <c r="F67" s="2608">
        <v>0</v>
      </c>
      <c r="G67" s="2217">
        <v>0</v>
      </c>
      <c r="H67" s="2609">
        <v>0</v>
      </c>
      <c r="I67" s="2608">
        <v>0</v>
      </c>
      <c r="J67" s="2217">
        <v>0</v>
      </c>
      <c r="K67" s="2607">
        <v>0</v>
      </c>
      <c r="L67" s="338"/>
    </row>
    <row r="68" spans="1:12" ht="5.0999999999999996" customHeight="1" x14ac:dyDescent="0.25">
      <c r="A68" s="669"/>
      <c r="B68" s="181"/>
      <c r="C68" s="205"/>
      <c r="D68" s="205"/>
      <c r="E68" s="256"/>
      <c r="F68" s="246"/>
      <c r="G68" s="205"/>
      <c r="H68" s="208"/>
      <c r="I68" s="246"/>
      <c r="J68" s="205"/>
      <c r="K68" s="256"/>
      <c r="L68" s="338"/>
    </row>
    <row r="69" spans="1:12" ht="13.5" customHeight="1" x14ac:dyDescent="0.25">
      <c r="A69" s="244" t="s">
        <v>136</v>
      </c>
      <c r="B69" s="181"/>
      <c r="C69" s="205">
        <v>0</v>
      </c>
      <c r="D69" s="205">
        <v>0</v>
      </c>
      <c r="E69" s="256">
        <v>0</v>
      </c>
      <c r="F69" s="246">
        <v>0</v>
      </c>
      <c r="G69" s="205">
        <v>0</v>
      </c>
      <c r="H69" s="208">
        <v>0</v>
      </c>
      <c r="I69" s="246">
        <v>0</v>
      </c>
      <c r="J69" s="205">
        <v>0</v>
      </c>
      <c r="K69" s="256">
        <v>0</v>
      </c>
      <c r="L69" s="338"/>
    </row>
    <row r="70" spans="1:12" ht="11.25" customHeight="1" x14ac:dyDescent="0.25">
      <c r="A70" s="1460" t="s">
        <v>1262</v>
      </c>
      <c r="B70" s="181"/>
      <c r="C70" s="2027">
        <v>0</v>
      </c>
      <c r="D70" s="2027">
        <v>0</v>
      </c>
      <c r="E70" s="2605">
        <v>0</v>
      </c>
      <c r="F70" s="2602">
        <v>0</v>
      </c>
      <c r="G70" s="2027">
        <v>0</v>
      </c>
      <c r="H70" s="2606">
        <v>0</v>
      </c>
      <c r="I70" s="2602">
        <v>0</v>
      </c>
      <c r="J70" s="2027">
        <v>0</v>
      </c>
      <c r="K70" s="2605">
        <v>0</v>
      </c>
      <c r="L70" s="338"/>
    </row>
    <row r="71" spans="1:12" ht="11.25" customHeight="1" x14ac:dyDescent="0.25">
      <c r="A71" s="1460"/>
      <c r="B71" s="181"/>
      <c r="C71" s="2217">
        <v>0</v>
      </c>
      <c r="D71" s="2217">
        <v>0</v>
      </c>
      <c r="E71" s="2607">
        <v>0</v>
      </c>
      <c r="F71" s="2608">
        <v>0</v>
      </c>
      <c r="G71" s="2217">
        <v>0</v>
      </c>
      <c r="H71" s="2609">
        <v>0</v>
      </c>
      <c r="I71" s="2608">
        <v>0</v>
      </c>
      <c r="J71" s="2217">
        <v>0</v>
      </c>
      <c r="K71" s="2607">
        <v>0</v>
      </c>
      <c r="L71" s="338"/>
    </row>
    <row r="72" spans="1:12" ht="5.0999999999999996" customHeight="1" x14ac:dyDescent="0.25">
      <c r="A72" s="265"/>
      <c r="B72" s="181"/>
      <c r="C72" s="205"/>
      <c r="D72" s="205"/>
      <c r="E72" s="256"/>
      <c r="F72" s="246"/>
      <c r="G72" s="205"/>
      <c r="H72" s="208"/>
      <c r="I72" s="246"/>
      <c r="J72" s="205"/>
      <c r="K72" s="256"/>
      <c r="L72" s="338"/>
    </row>
    <row r="73" spans="1:12" ht="17.25" customHeight="1" x14ac:dyDescent="0.25">
      <c r="A73" s="244" t="s">
        <v>884</v>
      </c>
      <c r="B73" s="181"/>
      <c r="C73" s="205">
        <v>0</v>
      </c>
      <c r="D73" s="205">
        <v>0</v>
      </c>
      <c r="E73" s="256">
        <v>0</v>
      </c>
      <c r="F73" s="246">
        <v>0</v>
      </c>
      <c r="G73" s="205">
        <v>0</v>
      </c>
      <c r="H73" s="208">
        <v>0</v>
      </c>
      <c r="I73" s="246">
        <v>0</v>
      </c>
      <c r="J73" s="205">
        <v>0</v>
      </c>
      <c r="K73" s="256">
        <v>0</v>
      </c>
      <c r="L73" s="338"/>
    </row>
    <row r="74" spans="1:12" ht="11.25" customHeight="1" x14ac:dyDescent="0.25">
      <c r="A74" s="249" t="s">
        <v>975</v>
      </c>
      <c r="B74" s="181"/>
      <c r="C74" s="2027">
        <v>0</v>
      </c>
      <c r="D74" s="2027">
        <v>0</v>
      </c>
      <c r="E74" s="2605">
        <v>0</v>
      </c>
      <c r="F74" s="2602">
        <v>0</v>
      </c>
      <c r="G74" s="2027">
        <v>0</v>
      </c>
      <c r="H74" s="2606">
        <v>0</v>
      </c>
      <c r="I74" s="2602">
        <v>0</v>
      </c>
      <c r="J74" s="2027">
        <v>0</v>
      </c>
      <c r="K74" s="2605">
        <v>0</v>
      </c>
      <c r="L74" s="338"/>
    </row>
    <row r="75" spans="1:12" ht="11.25" customHeight="1" x14ac:dyDescent="0.25">
      <c r="A75" s="1459" t="s">
        <v>617</v>
      </c>
      <c r="B75" s="181"/>
      <c r="C75" s="2217">
        <v>0</v>
      </c>
      <c r="D75" s="2217">
        <v>0</v>
      </c>
      <c r="E75" s="2607">
        <v>0</v>
      </c>
      <c r="F75" s="2608">
        <v>0</v>
      </c>
      <c r="G75" s="2217">
        <v>0</v>
      </c>
      <c r="H75" s="2609">
        <v>0</v>
      </c>
      <c r="I75" s="2608">
        <v>0</v>
      </c>
      <c r="J75" s="2217">
        <v>0</v>
      </c>
      <c r="K75" s="2607">
        <v>0</v>
      </c>
      <c r="L75" s="338"/>
    </row>
    <row r="76" spans="1:12" ht="5.0999999999999996" customHeight="1" x14ac:dyDescent="0.25">
      <c r="A76" s="265"/>
      <c r="B76" s="181"/>
      <c r="C76" s="357"/>
      <c r="D76" s="357"/>
      <c r="E76" s="313"/>
      <c r="F76" s="358"/>
      <c r="G76" s="357"/>
      <c r="H76" s="359"/>
      <c r="I76" s="358"/>
      <c r="J76" s="357"/>
      <c r="K76" s="313"/>
      <c r="L76" s="338"/>
    </row>
    <row r="77" spans="1:12" x14ac:dyDescent="0.25">
      <c r="A77" s="268" t="s">
        <v>1235</v>
      </c>
      <c r="B77" s="222">
        <v>1</v>
      </c>
      <c r="C77" s="224">
        <v>0</v>
      </c>
      <c r="D77" s="224">
        <v>0</v>
      </c>
      <c r="E77" s="320">
        <v>0</v>
      </c>
      <c r="F77" s="321">
        <v>0</v>
      </c>
      <c r="G77" s="224">
        <v>0</v>
      </c>
      <c r="H77" s="223">
        <v>0</v>
      </c>
      <c r="I77" s="321">
        <v>0</v>
      </c>
      <c r="J77" s="224">
        <v>0</v>
      </c>
      <c r="K77" s="320">
        <v>0</v>
      </c>
      <c r="L77" s="338"/>
    </row>
    <row r="78" spans="1:12" x14ac:dyDescent="0.25">
      <c r="A78" s="1272"/>
      <c r="B78" s="568"/>
      <c r="C78" s="359"/>
      <c r="D78" s="359"/>
      <c r="E78" s="359"/>
      <c r="F78" s="359"/>
      <c r="G78" s="359"/>
      <c r="H78" s="359"/>
      <c r="I78" s="359"/>
      <c r="J78" s="359"/>
      <c r="K78" s="359"/>
      <c r="L78" s="338"/>
    </row>
    <row r="79" spans="1:12" x14ac:dyDescent="0.25">
      <c r="A79" s="1273" t="s">
        <v>32</v>
      </c>
      <c r="B79" s="1905"/>
      <c r="C79" s="2159">
        <v>0</v>
      </c>
      <c r="D79" s="2156">
        <v>0</v>
      </c>
      <c r="E79" s="2619">
        <v>0</v>
      </c>
      <c r="F79" s="2159">
        <v>0</v>
      </c>
      <c r="G79" s="2156">
        <v>0</v>
      </c>
      <c r="H79" s="2619">
        <v>0</v>
      </c>
      <c r="I79" s="2159">
        <v>0</v>
      </c>
      <c r="J79" s="2156">
        <v>0</v>
      </c>
      <c r="K79" s="2619">
        <v>0</v>
      </c>
      <c r="L79" s="338"/>
    </row>
    <row r="80" spans="1:12" x14ac:dyDescent="0.25">
      <c r="A80" s="189" t="s">
        <v>1295</v>
      </c>
      <c r="B80" s="1906"/>
      <c r="C80" s="1031">
        <v>0</v>
      </c>
      <c r="D80" s="1030">
        <v>0</v>
      </c>
      <c r="E80" s="2025">
        <v>0</v>
      </c>
      <c r="F80" s="1031">
        <v>0</v>
      </c>
      <c r="G80" s="1030">
        <v>0</v>
      </c>
      <c r="H80" s="2025">
        <v>0</v>
      </c>
      <c r="I80" s="1031">
        <v>0</v>
      </c>
      <c r="J80" s="1030">
        <v>0</v>
      </c>
      <c r="K80" s="2025">
        <v>0</v>
      </c>
      <c r="L80" s="338"/>
    </row>
    <row r="81" spans="1:12" x14ac:dyDescent="0.25">
      <c r="A81" s="189" t="s">
        <v>1530</v>
      </c>
      <c r="B81" s="1906"/>
      <c r="C81" s="1031">
        <v>0</v>
      </c>
      <c r="D81" s="1030">
        <v>0</v>
      </c>
      <c r="E81" s="2025">
        <v>0</v>
      </c>
      <c r="F81" s="1031">
        <v>0</v>
      </c>
      <c r="G81" s="1030">
        <v>0</v>
      </c>
      <c r="H81" s="2025">
        <v>0</v>
      </c>
      <c r="I81" s="1031">
        <v>0</v>
      </c>
      <c r="J81" s="1030">
        <v>0</v>
      </c>
      <c r="K81" s="2025">
        <v>0</v>
      </c>
      <c r="L81" s="338"/>
    </row>
    <row r="82" spans="1:12" x14ac:dyDescent="0.25">
      <c r="A82" s="189" t="s">
        <v>1727</v>
      </c>
      <c r="B82" s="1906"/>
      <c r="C82" s="1031">
        <v>0</v>
      </c>
      <c r="D82" s="1030">
        <v>0</v>
      </c>
      <c r="E82" s="2025">
        <v>0</v>
      </c>
      <c r="F82" s="1031">
        <v>0</v>
      </c>
      <c r="G82" s="1030">
        <v>0</v>
      </c>
      <c r="H82" s="2025">
        <v>0</v>
      </c>
      <c r="I82" s="1031">
        <v>0</v>
      </c>
      <c r="J82" s="1030">
        <v>0</v>
      </c>
      <c r="K82" s="2025">
        <v>0</v>
      </c>
      <c r="L82" s="338"/>
    </row>
    <row r="83" spans="1:12" x14ac:dyDescent="0.25">
      <c r="A83" s="1049" t="s">
        <v>1728</v>
      </c>
      <c r="B83" s="1907"/>
      <c r="C83" s="2236">
        <v>0</v>
      </c>
      <c r="D83" s="2232">
        <v>0</v>
      </c>
      <c r="E83" s="2621">
        <v>0</v>
      </c>
      <c r="F83" s="2236">
        <v>0</v>
      </c>
      <c r="G83" s="2232">
        <v>0</v>
      </c>
      <c r="H83" s="2621">
        <v>0</v>
      </c>
      <c r="I83" s="2236">
        <v>0</v>
      </c>
      <c r="J83" s="2232">
        <v>0</v>
      </c>
      <c r="K83" s="2621">
        <v>0</v>
      </c>
      <c r="L83" s="338"/>
    </row>
    <row r="84" spans="1:12" s="328" customFormat="1" ht="3.75" customHeight="1" x14ac:dyDescent="0.25">
      <c r="A84" s="302"/>
      <c r="B84" s="388"/>
      <c r="C84" s="1067"/>
      <c r="D84" s="1067"/>
      <c r="E84" s="1067"/>
      <c r="F84" s="1067"/>
      <c r="G84" s="1067"/>
      <c r="H84" s="1067"/>
      <c r="I84" s="1067"/>
      <c r="J84" s="1067"/>
      <c r="K84" s="1067"/>
    </row>
    <row r="85" spans="1:12" s="625" customFormat="1" x14ac:dyDescent="0.25">
      <c r="A85" s="1908" t="s">
        <v>1968</v>
      </c>
      <c r="B85" s="1909"/>
      <c r="C85" s="1910">
        <v>0</v>
      </c>
      <c r="D85" s="1910">
        <v>0</v>
      </c>
      <c r="E85" s="1911">
        <v>0</v>
      </c>
      <c r="F85" s="1912">
        <v>0</v>
      </c>
      <c r="G85" s="1910">
        <v>0</v>
      </c>
      <c r="H85" s="1913">
        <v>0</v>
      </c>
      <c r="I85" s="1914">
        <v>0</v>
      </c>
      <c r="J85" s="1910">
        <v>0</v>
      </c>
      <c r="K85" s="1911">
        <v>0</v>
      </c>
      <c r="L85" s="1271"/>
    </row>
    <row r="86" spans="1:12" s="625" customFormat="1" ht="11.25" customHeight="1" x14ac:dyDescent="0.25">
      <c r="A86" s="1898" t="s">
        <v>1438</v>
      </c>
      <c r="B86" s="1899"/>
      <c r="C86" s="1900">
        <v>0</v>
      </c>
      <c r="D86" s="1900">
        <v>0</v>
      </c>
      <c r="E86" s="1901">
        <v>0</v>
      </c>
      <c r="F86" s="1902">
        <v>0</v>
      </c>
      <c r="G86" s="1900">
        <v>0</v>
      </c>
      <c r="H86" s="1903">
        <v>0</v>
      </c>
      <c r="I86" s="1904">
        <v>0</v>
      </c>
      <c r="J86" s="1900">
        <v>0</v>
      </c>
      <c r="K86" s="1901">
        <v>0</v>
      </c>
      <c r="L86" s="873"/>
    </row>
    <row r="87" spans="1:12" s="625" customFormat="1" ht="11.25" customHeight="1" x14ac:dyDescent="0.25">
      <c r="A87" s="1009" t="s">
        <v>986</v>
      </c>
      <c r="B87" s="837"/>
      <c r="C87" s="839"/>
      <c r="D87" s="839"/>
      <c r="E87" s="839"/>
      <c r="F87" s="839"/>
      <c r="G87" s="839"/>
      <c r="H87" s="839"/>
      <c r="I87" s="839"/>
      <c r="J87" s="839"/>
      <c r="K87" s="839"/>
    </row>
    <row r="88" spans="1:12" s="625" customFormat="1" ht="11.25" customHeight="1" x14ac:dyDescent="0.25">
      <c r="A88" s="1010" t="s">
        <v>1236</v>
      </c>
      <c r="B88" s="837"/>
      <c r="C88" s="2083"/>
      <c r="D88" s="2083"/>
      <c r="E88" s="839"/>
      <c r="F88" s="839"/>
      <c r="G88" s="839"/>
      <c r="H88" s="839"/>
      <c r="I88" s="839"/>
      <c r="J88" s="839"/>
      <c r="K88" s="839"/>
    </row>
    <row r="89" spans="1:12" s="625" customFormat="1" ht="11.25" customHeight="1" x14ac:dyDescent="0.25">
      <c r="A89" s="1010" t="s">
        <v>320</v>
      </c>
      <c r="B89" s="837"/>
      <c r="C89" s="2083"/>
      <c r="D89" s="2083"/>
      <c r="E89" s="839"/>
      <c r="F89" s="839"/>
      <c r="G89" s="839"/>
      <c r="H89" s="839"/>
      <c r="I89" s="839"/>
      <c r="J89" s="839"/>
      <c r="K89" s="839"/>
    </row>
    <row r="90" spans="1:12" s="625" customFormat="1" ht="11.25" customHeight="1" x14ac:dyDescent="0.25">
      <c r="A90" s="1010" t="s">
        <v>917</v>
      </c>
      <c r="B90" s="837"/>
      <c r="C90" s="2083"/>
      <c r="D90" s="2083"/>
      <c r="E90" s="839"/>
      <c r="F90" s="839"/>
      <c r="G90" s="839"/>
      <c r="H90" s="839"/>
      <c r="I90" s="839"/>
      <c r="J90" s="839"/>
      <c r="K90" s="839"/>
    </row>
    <row r="91" spans="1:12" s="625" customFormat="1" ht="11.25" customHeight="1" x14ac:dyDescent="0.25">
      <c r="A91" s="1010" t="s">
        <v>324</v>
      </c>
      <c r="B91" s="837"/>
      <c r="C91" s="2083"/>
      <c r="D91" s="2083"/>
      <c r="E91" s="839"/>
      <c r="F91" s="839"/>
      <c r="G91" s="839"/>
      <c r="H91" s="839"/>
      <c r="I91" s="839"/>
      <c r="J91" s="839"/>
      <c r="K91" s="839"/>
    </row>
    <row r="92" spans="1:12" s="625" customFormat="1" ht="11.25" customHeight="1" x14ac:dyDescent="0.25">
      <c r="A92" s="1010" t="s">
        <v>133</v>
      </c>
      <c r="B92" s="837"/>
      <c r="C92" s="2083"/>
      <c r="D92" s="2083"/>
      <c r="E92" s="839"/>
      <c r="F92" s="839"/>
      <c r="G92" s="839"/>
      <c r="H92" s="839"/>
      <c r="I92" s="839"/>
      <c r="J92" s="839"/>
      <c r="K92" s="839"/>
    </row>
    <row r="93" spans="1:12" s="625" customFormat="1" ht="11.25" customHeight="1" x14ac:dyDescent="0.25">
      <c r="A93" s="1010" t="s">
        <v>1668</v>
      </c>
      <c r="B93" s="837"/>
      <c r="C93" s="2083"/>
      <c r="D93" s="2083"/>
      <c r="E93" s="839"/>
      <c r="F93" s="839"/>
      <c r="G93" s="839"/>
      <c r="H93" s="839"/>
      <c r="I93" s="839"/>
      <c r="J93" s="839"/>
      <c r="K93" s="839"/>
    </row>
    <row r="94" spans="1:12" s="625" customFormat="1" ht="11.25" customHeight="1" x14ac:dyDescent="0.25">
      <c r="A94" s="1235" t="s">
        <v>33</v>
      </c>
      <c r="B94" s="837"/>
      <c r="C94" s="2083"/>
      <c r="D94" s="2083"/>
      <c r="E94" s="839"/>
      <c r="F94" s="839"/>
      <c r="G94" s="839"/>
      <c r="H94" s="839"/>
      <c r="I94" s="839"/>
      <c r="J94" s="839"/>
      <c r="K94" s="839"/>
    </row>
    <row r="95" spans="1:12" s="625" customFormat="1" ht="11.25" customHeight="1" x14ac:dyDescent="0.25">
      <c r="A95" s="1235" t="s">
        <v>1340</v>
      </c>
      <c r="B95" s="837"/>
      <c r="C95" s="2083"/>
      <c r="D95" s="2083"/>
      <c r="E95" s="839"/>
      <c r="F95" s="839"/>
      <c r="G95" s="839"/>
      <c r="H95" s="839"/>
      <c r="I95" s="839"/>
      <c r="J95" s="839"/>
      <c r="K95" s="839"/>
    </row>
    <row r="96" spans="1:12" s="625" customFormat="1" ht="11.25" customHeight="1" x14ac:dyDescent="0.25">
      <c r="A96" s="1235" t="s">
        <v>1341</v>
      </c>
      <c r="B96" s="837"/>
      <c r="C96" s="2083"/>
      <c r="D96" s="2083"/>
      <c r="E96" s="839"/>
      <c r="F96" s="839"/>
      <c r="G96" s="839"/>
      <c r="H96" s="839"/>
      <c r="I96" s="839"/>
      <c r="J96" s="839"/>
      <c r="K96" s="839"/>
    </row>
    <row r="97" spans="1:11" ht="11.25" customHeight="1" x14ac:dyDescent="0.25">
      <c r="A97" s="1235" t="s">
        <v>389</v>
      </c>
      <c r="B97" s="837"/>
      <c r="C97" s="2083"/>
      <c r="D97" s="2083"/>
      <c r="E97" s="839"/>
      <c r="F97" s="839"/>
      <c r="G97" s="839"/>
      <c r="H97" s="839"/>
      <c r="I97" s="839"/>
      <c r="J97" s="839"/>
      <c r="K97" s="839"/>
    </row>
    <row r="98" spans="1:11" ht="11.25" customHeight="1" x14ac:dyDescent="0.25">
      <c r="A98" s="848"/>
      <c r="B98" s="837"/>
      <c r="C98" s="2083"/>
      <c r="D98" s="2083"/>
      <c r="E98" s="839"/>
      <c r="F98" s="839"/>
      <c r="G98" s="839"/>
      <c r="H98" s="839"/>
      <c r="I98" s="839"/>
      <c r="J98" s="839"/>
      <c r="K98" s="839"/>
    </row>
    <row r="99" spans="1:11" ht="11.25" customHeight="1" x14ac:dyDescent="0.25">
      <c r="A99" s="241"/>
      <c r="B99" s="232"/>
      <c r="C99" s="233"/>
      <c r="D99" s="233"/>
      <c r="E99" s="234"/>
      <c r="F99" s="234"/>
      <c r="G99" s="234"/>
      <c r="H99" s="234"/>
      <c r="I99" s="234"/>
      <c r="J99" s="234"/>
      <c r="K99" s="234"/>
    </row>
    <row r="100" spans="1:11" ht="11.25" customHeight="1" x14ac:dyDescent="0.25">
      <c r="A100" s="275" t="s">
        <v>296</v>
      </c>
      <c r="B100" s="238"/>
      <c r="C100" s="519">
        <v>0</v>
      </c>
      <c r="D100" s="519">
        <v>0.28999999724328518</v>
      </c>
      <c r="E100" s="519">
        <v>0</v>
      </c>
      <c r="F100" s="519">
        <v>0</v>
      </c>
      <c r="G100" s="519">
        <v>0</v>
      </c>
      <c r="H100" s="519">
        <v>0</v>
      </c>
      <c r="I100" s="519">
        <v>0</v>
      </c>
      <c r="J100" s="519">
        <v>0</v>
      </c>
      <c r="K100" s="519">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sheetData>
  <mergeCells count="2">
    <mergeCell ref="F2:H2"/>
    <mergeCell ref="I2:K2"/>
  </mergeCells>
  <phoneticPr fontId="4" type="noConversion"/>
  <pageMargins left="0.75" right="0.75" top="1" bottom="1" header="0.5" footer="0.5"/>
  <pageSetup scale="56" orientation="portrait" verticalDpi="0"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enableFormatConditionsCalculation="0">
    <tabColor indexed="42"/>
    <pageSetUpPr fitToPage="1"/>
  </sheetPr>
  <dimension ref="A1:O135"/>
  <sheetViews>
    <sheetView showGridLines="0" tabSelected="1" workbookViewId="0">
      <pane xSplit="2" ySplit="3" topLeftCell="C7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338" customWidth="1"/>
    <col min="2" max="2" width="3" style="1928"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12" ht="13.5" customHeight="1" x14ac:dyDescent="0.25">
      <c r="A1" s="1997" t="s">
        <v>2559</v>
      </c>
      <c r="B1" s="1997"/>
      <c r="C1" s="1997"/>
      <c r="D1" s="1997"/>
      <c r="E1" s="1997"/>
      <c r="F1" s="1997"/>
      <c r="G1" s="1997"/>
      <c r="H1" s="1997"/>
      <c r="I1" s="1997"/>
      <c r="J1" s="1997"/>
      <c r="K1" s="1997"/>
    </row>
    <row r="2" spans="1:12" ht="28.5" customHeight="1" x14ac:dyDescent="0.25">
      <c r="A2" s="786" t="s">
        <v>775</v>
      </c>
      <c r="B2" s="379" t="s">
        <v>429</v>
      </c>
      <c r="C2" s="149" t="s">
        <v>2478</v>
      </c>
      <c r="D2" s="634" t="s">
        <v>2479</v>
      </c>
      <c r="E2" s="1996" t="s">
        <v>2480</v>
      </c>
      <c r="F2" s="2700" t="s">
        <v>2481</v>
      </c>
      <c r="G2" s="2701"/>
      <c r="H2" s="2701"/>
      <c r="I2" s="2697" t="s">
        <v>2482</v>
      </c>
      <c r="J2" s="2698"/>
      <c r="K2" s="2699"/>
    </row>
    <row r="3" spans="1:12" ht="25.5" x14ac:dyDescent="0.25">
      <c r="A3" s="179" t="s">
        <v>667</v>
      </c>
      <c r="B3" s="2003">
        <v>1</v>
      </c>
      <c r="C3" s="2009" t="s">
        <v>1065</v>
      </c>
      <c r="D3" s="2016" t="s">
        <v>1065</v>
      </c>
      <c r="E3" s="354" t="s">
        <v>1065</v>
      </c>
      <c r="F3" s="2004" t="s">
        <v>467</v>
      </c>
      <c r="G3" s="2009" t="s">
        <v>1807</v>
      </c>
      <c r="H3" s="2018" t="s">
        <v>1808</v>
      </c>
      <c r="I3" s="2004" t="s">
        <v>2483</v>
      </c>
      <c r="J3" s="2009" t="s">
        <v>2484</v>
      </c>
      <c r="K3" s="354" t="s">
        <v>2485</v>
      </c>
    </row>
    <row r="4" spans="1:12" ht="11.25" customHeight="1" x14ac:dyDescent="0.25">
      <c r="A4" s="2603" t="s">
        <v>1231</v>
      </c>
      <c r="B4" s="760"/>
      <c r="C4" s="2604"/>
      <c r="D4" s="749"/>
      <c r="E4" s="774"/>
      <c r="F4" s="773"/>
      <c r="G4" s="749"/>
      <c r="H4" s="750"/>
      <c r="I4" s="773"/>
      <c r="J4" s="749"/>
      <c r="K4" s="774"/>
      <c r="L4" s="338"/>
    </row>
    <row r="5" spans="1:12" ht="5.0999999999999996" customHeight="1" x14ac:dyDescent="0.25">
      <c r="A5" s="651"/>
      <c r="B5" s="318"/>
      <c r="C5" s="776"/>
      <c r="D5" s="776"/>
      <c r="E5" s="779"/>
      <c r="F5" s="778"/>
      <c r="G5" s="776"/>
      <c r="H5" s="2106"/>
      <c r="I5" s="778"/>
      <c r="J5" s="776"/>
      <c r="K5" s="779"/>
      <c r="L5" s="338"/>
    </row>
    <row r="6" spans="1:12" ht="11.25" customHeight="1" x14ac:dyDescent="0.25">
      <c r="A6" s="651" t="s">
        <v>979</v>
      </c>
      <c r="B6" s="318"/>
      <c r="C6" s="357">
        <v>366567.84</v>
      </c>
      <c r="D6" s="357">
        <v>815439.63</v>
      </c>
      <c r="E6" s="313">
        <v>1007858.0299999999</v>
      </c>
      <c r="F6" s="358">
        <v>0</v>
      </c>
      <c r="G6" s="357">
        <v>3390000</v>
      </c>
      <c r="H6" s="359">
        <v>3390000</v>
      </c>
      <c r="I6" s="358">
        <v>3340000</v>
      </c>
      <c r="J6" s="357">
        <v>3540400</v>
      </c>
      <c r="K6" s="313">
        <v>3752824</v>
      </c>
      <c r="L6" s="1269"/>
    </row>
    <row r="7" spans="1:12" s="1248" customFormat="1" ht="13.5" x14ac:dyDescent="0.25">
      <c r="A7" s="249" t="s">
        <v>537</v>
      </c>
      <c r="B7" s="318"/>
      <c r="C7" s="884">
        <v>64994.080000000002</v>
      </c>
      <c r="D7" s="884">
        <v>293722.23</v>
      </c>
      <c r="E7" s="1144">
        <v>503395.06999999995</v>
      </c>
      <c r="F7" s="885">
        <v>0</v>
      </c>
      <c r="G7" s="884">
        <v>1155000</v>
      </c>
      <c r="H7" s="920">
        <v>1155000</v>
      </c>
      <c r="I7" s="1145">
        <v>1110000</v>
      </c>
      <c r="J7" s="884">
        <v>1176600</v>
      </c>
      <c r="K7" s="920">
        <v>1247196</v>
      </c>
      <c r="L7" s="338"/>
    </row>
    <row r="8" spans="1:12" s="1248" customFormat="1" ht="13.5" x14ac:dyDescent="0.25">
      <c r="A8" s="1191" t="s">
        <v>538</v>
      </c>
      <c r="B8" s="318"/>
      <c r="C8" s="1030">
        <v>64994.080000000002</v>
      </c>
      <c r="D8" s="1030">
        <v>293722.23</v>
      </c>
      <c r="E8" s="2024">
        <v>503395.06999999995</v>
      </c>
      <c r="F8" s="1031">
        <v>0</v>
      </c>
      <c r="G8" s="1030">
        <v>1155000</v>
      </c>
      <c r="H8" s="2025">
        <v>1155000</v>
      </c>
      <c r="I8" s="2026">
        <v>1110000</v>
      </c>
      <c r="J8" s="1030">
        <v>1176600</v>
      </c>
      <c r="K8" s="2025">
        <v>1247196</v>
      </c>
      <c r="L8" s="1269"/>
    </row>
    <row r="9" spans="1:12" s="1248" customFormat="1" ht="13.5" x14ac:dyDescent="0.25">
      <c r="A9" s="1191" t="s">
        <v>539</v>
      </c>
      <c r="B9" s="318"/>
      <c r="C9" s="1030">
        <v>0</v>
      </c>
      <c r="D9" s="1030">
        <v>0</v>
      </c>
      <c r="E9" s="2024">
        <v>0</v>
      </c>
      <c r="F9" s="1031">
        <v>0</v>
      </c>
      <c r="G9" s="1030">
        <v>0</v>
      </c>
      <c r="H9" s="2025">
        <v>0</v>
      </c>
      <c r="I9" s="2026">
        <v>0</v>
      </c>
      <c r="J9" s="1030">
        <v>0</v>
      </c>
      <c r="K9" s="2025">
        <v>0</v>
      </c>
      <c r="L9" s="1270"/>
    </row>
    <row r="10" spans="1:12" s="1248" customFormat="1" ht="13.5" x14ac:dyDescent="0.25">
      <c r="A10" s="249" t="s">
        <v>21</v>
      </c>
      <c r="B10" s="318"/>
      <c r="C10" s="852">
        <v>124866.68</v>
      </c>
      <c r="D10" s="852">
        <v>177475.22</v>
      </c>
      <c r="E10" s="1146">
        <v>117903.13</v>
      </c>
      <c r="F10" s="856">
        <v>0</v>
      </c>
      <c r="G10" s="852">
        <v>1670000</v>
      </c>
      <c r="H10" s="923">
        <v>1670000</v>
      </c>
      <c r="I10" s="1147">
        <v>1665000</v>
      </c>
      <c r="J10" s="852">
        <v>1764900</v>
      </c>
      <c r="K10" s="923">
        <v>1870794</v>
      </c>
      <c r="L10" s="1270"/>
    </row>
    <row r="11" spans="1:12" s="1248" customFormat="1" ht="13.5" x14ac:dyDescent="0.25">
      <c r="A11" s="1191" t="s">
        <v>22</v>
      </c>
      <c r="B11" s="318"/>
      <c r="C11" s="1030">
        <v>0</v>
      </c>
      <c r="D11" s="1030">
        <v>0</v>
      </c>
      <c r="E11" s="2024">
        <v>0</v>
      </c>
      <c r="F11" s="1031">
        <v>0</v>
      </c>
      <c r="G11" s="1030">
        <v>0</v>
      </c>
      <c r="H11" s="2025">
        <v>0</v>
      </c>
      <c r="I11" s="2026">
        <v>0</v>
      </c>
      <c r="J11" s="1030">
        <v>0</v>
      </c>
      <c r="K11" s="2025">
        <v>0</v>
      </c>
      <c r="L11" s="1270"/>
    </row>
    <row r="12" spans="1:12" s="1248" customFormat="1" ht="13.5" x14ac:dyDescent="0.25">
      <c r="A12" s="1191" t="s">
        <v>23</v>
      </c>
      <c r="B12" s="318"/>
      <c r="C12" s="1030">
        <v>124866.68</v>
      </c>
      <c r="D12" s="1030">
        <v>169581.01</v>
      </c>
      <c r="E12" s="2024">
        <v>117903.13</v>
      </c>
      <c r="F12" s="1031">
        <v>0</v>
      </c>
      <c r="G12" s="1030">
        <v>1610000</v>
      </c>
      <c r="H12" s="2025">
        <v>1610000</v>
      </c>
      <c r="I12" s="2026">
        <v>1610000</v>
      </c>
      <c r="J12" s="1030">
        <v>1706600</v>
      </c>
      <c r="K12" s="2025">
        <v>1808996</v>
      </c>
      <c r="L12" s="1270"/>
    </row>
    <row r="13" spans="1:12" s="1248" customFormat="1" ht="13.5" x14ac:dyDescent="0.25">
      <c r="A13" s="1191" t="s">
        <v>137</v>
      </c>
      <c r="B13" s="318"/>
      <c r="C13" s="1030">
        <v>0</v>
      </c>
      <c r="D13" s="1030">
        <v>7894.21</v>
      </c>
      <c r="E13" s="2024">
        <v>0</v>
      </c>
      <c r="F13" s="1031">
        <v>0</v>
      </c>
      <c r="G13" s="1030">
        <v>60000</v>
      </c>
      <c r="H13" s="2025">
        <v>60000</v>
      </c>
      <c r="I13" s="2026">
        <v>55000</v>
      </c>
      <c r="J13" s="1030">
        <v>58300</v>
      </c>
      <c r="K13" s="2025">
        <v>61798</v>
      </c>
      <c r="L13" s="1270"/>
    </row>
    <row r="14" spans="1:12" s="1248" customFormat="1" ht="13.5" x14ac:dyDescent="0.25">
      <c r="A14" s="249" t="s">
        <v>24</v>
      </c>
      <c r="B14" s="318"/>
      <c r="C14" s="852">
        <v>109386.15</v>
      </c>
      <c r="D14" s="852">
        <v>195503.81</v>
      </c>
      <c r="E14" s="1146">
        <v>330487.25</v>
      </c>
      <c r="F14" s="856">
        <v>0</v>
      </c>
      <c r="G14" s="852">
        <v>365000</v>
      </c>
      <c r="H14" s="923">
        <v>365000</v>
      </c>
      <c r="I14" s="1147">
        <v>365000</v>
      </c>
      <c r="J14" s="852">
        <v>386900</v>
      </c>
      <c r="K14" s="923">
        <v>410114</v>
      </c>
      <c r="L14" s="1270"/>
    </row>
    <row r="15" spans="1:12" s="1248" customFormat="1" ht="13.5" x14ac:dyDescent="0.25">
      <c r="A15" s="1191" t="s">
        <v>25</v>
      </c>
      <c r="B15" s="318"/>
      <c r="C15" s="1030">
        <v>0</v>
      </c>
      <c r="D15" s="1030">
        <v>0</v>
      </c>
      <c r="E15" s="2024">
        <v>0</v>
      </c>
      <c r="F15" s="1031">
        <v>0</v>
      </c>
      <c r="G15" s="1030">
        <v>0</v>
      </c>
      <c r="H15" s="2025">
        <v>0</v>
      </c>
      <c r="I15" s="2026">
        <v>0</v>
      </c>
      <c r="J15" s="1030">
        <v>0</v>
      </c>
      <c r="K15" s="2025">
        <v>0</v>
      </c>
      <c r="L15" s="1270"/>
    </row>
    <row r="16" spans="1:12" s="1248" customFormat="1" ht="13.5" x14ac:dyDescent="0.25">
      <c r="A16" s="1191" t="s">
        <v>26</v>
      </c>
      <c r="B16" s="318"/>
      <c r="C16" s="1030">
        <v>0</v>
      </c>
      <c r="D16" s="1030">
        <v>0</v>
      </c>
      <c r="E16" s="2024">
        <v>0</v>
      </c>
      <c r="F16" s="1031">
        <v>0</v>
      </c>
      <c r="G16" s="1030">
        <v>0</v>
      </c>
      <c r="H16" s="2025">
        <v>0</v>
      </c>
      <c r="I16" s="2026">
        <v>0</v>
      </c>
      <c r="J16" s="1030">
        <v>0</v>
      </c>
      <c r="K16" s="2025">
        <v>0</v>
      </c>
      <c r="L16" s="1270"/>
    </row>
    <row r="17" spans="1:12" s="1248" customFormat="1" ht="13.5" x14ac:dyDescent="0.25">
      <c r="A17" s="1191" t="s">
        <v>2423</v>
      </c>
      <c r="B17" s="318"/>
      <c r="C17" s="1030">
        <v>109386.15</v>
      </c>
      <c r="D17" s="1030">
        <v>195503.81</v>
      </c>
      <c r="E17" s="2024">
        <v>330487.25</v>
      </c>
      <c r="F17" s="1031">
        <v>0</v>
      </c>
      <c r="G17" s="1030">
        <v>365000</v>
      </c>
      <c r="H17" s="2025">
        <v>365000</v>
      </c>
      <c r="I17" s="2026">
        <v>365000</v>
      </c>
      <c r="J17" s="1030">
        <v>386900</v>
      </c>
      <c r="K17" s="2025">
        <v>410114</v>
      </c>
      <c r="L17" s="1270"/>
    </row>
    <row r="18" spans="1:12" s="1248" customFormat="1" ht="13.5" x14ac:dyDescent="0.25">
      <c r="A18" s="249" t="s">
        <v>28</v>
      </c>
      <c r="B18" s="318"/>
      <c r="C18" s="852">
        <v>57317.56</v>
      </c>
      <c r="D18" s="852">
        <v>80881.7</v>
      </c>
      <c r="E18" s="1146">
        <v>21851</v>
      </c>
      <c r="F18" s="856">
        <v>0</v>
      </c>
      <c r="G18" s="852">
        <v>100000</v>
      </c>
      <c r="H18" s="923">
        <v>100000</v>
      </c>
      <c r="I18" s="1147">
        <v>100000</v>
      </c>
      <c r="J18" s="852">
        <v>106000</v>
      </c>
      <c r="K18" s="923">
        <v>112360</v>
      </c>
      <c r="L18" s="1270"/>
    </row>
    <row r="19" spans="1:12" s="1248" customFormat="1" ht="13.5" x14ac:dyDescent="0.25">
      <c r="A19" s="1191" t="s">
        <v>27</v>
      </c>
      <c r="B19" s="318"/>
      <c r="C19" s="1030">
        <v>0</v>
      </c>
      <c r="D19" s="1030">
        <v>0</v>
      </c>
      <c r="E19" s="2024">
        <v>0</v>
      </c>
      <c r="F19" s="1031">
        <v>0</v>
      </c>
      <c r="G19" s="1030">
        <v>0</v>
      </c>
      <c r="H19" s="2025">
        <v>0</v>
      </c>
      <c r="I19" s="2026">
        <v>0</v>
      </c>
      <c r="J19" s="1030">
        <v>0</v>
      </c>
      <c r="K19" s="2025">
        <v>0</v>
      </c>
      <c r="L19" s="1270"/>
    </row>
    <row r="20" spans="1:12" s="1248" customFormat="1" ht="13.5" x14ac:dyDescent="0.25">
      <c r="A20" s="1191" t="s">
        <v>29</v>
      </c>
      <c r="B20" s="318"/>
      <c r="C20" s="1030">
        <v>57317.56</v>
      </c>
      <c r="D20" s="1030">
        <v>80881.7</v>
      </c>
      <c r="E20" s="2024">
        <v>21851</v>
      </c>
      <c r="F20" s="1031">
        <v>0</v>
      </c>
      <c r="G20" s="1030">
        <v>100000</v>
      </c>
      <c r="H20" s="2025">
        <v>100000</v>
      </c>
      <c r="I20" s="2026">
        <v>100000</v>
      </c>
      <c r="J20" s="1030">
        <v>106000</v>
      </c>
      <c r="K20" s="2025">
        <v>112360</v>
      </c>
      <c r="L20" s="1270"/>
    </row>
    <row r="21" spans="1:12" s="1248" customFormat="1" ht="13.5" x14ac:dyDescent="0.25">
      <c r="A21" s="249" t="s">
        <v>30</v>
      </c>
      <c r="B21" s="318"/>
      <c r="C21" s="852">
        <v>10003.370000000001</v>
      </c>
      <c r="D21" s="852">
        <v>67856.67</v>
      </c>
      <c r="E21" s="852">
        <v>34221.58</v>
      </c>
      <c r="F21" s="856">
        <v>0</v>
      </c>
      <c r="G21" s="852">
        <v>100000</v>
      </c>
      <c r="H21" s="923">
        <v>100000</v>
      </c>
      <c r="I21" s="1147">
        <v>100000</v>
      </c>
      <c r="J21" s="852">
        <v>106000</v>
      </c>
      <c r="K21" s="923">
        <v>112360</v>
      </c>
      <c r="L21" s="1270"/>
    </row>
    <row r="22" spans="1:12" s="1248" customFormat="1" ht="13.5" x14ac:dyDescent="0.25">
      <c r="A22" s="1191" t="s">
        <v>1295</v>
      </c>
      <c r="B22" s="318"/>
      <c r="C22" s="1030">
        <v>10003.370000000001</v>
      </c>
      <c r="D22" s="1030">
        <v>67856.67</v>
      </c>
      <c r="E22" s="2024">
        <v>34221.58</v>
      </c>
      <c r="F22" s="1031">
        <v>0</v>
      </c>
      <c r="G22" s="1030">
        <v>100000</v>
      </c>
      <c r="H22" s="2025">
        <v>100000</v>
      </c>
      <c r="I22" s="2026">
        <v>100000</v>
      </c>
      <c r="J22" s="1030">
        <v>106000</v>
      </c>
      <c r="K22" s="2025">
        <v>112360</v>
      </c>
      <c r="L22" s="1269"/>
    </row>
    <row r="23" spans="1:12" s="1248" customFormat="1" ht="13.5" x14ac:dyDescent="0.25">
      <c r="A23" s="1191" t="s">
        <v>321</v>
      </c>
      <c r="B23" s="318">
        <v>2</v>
      </c>
      <c r="C23" s="1030">
        <v>0</v>
      </c>
      <c r="D23" s="1030">
        <v>0</v>
      </c>
      <c r="E23" s="2024">
        <v>0</v>
      </c>
      <c r="F23" s="1031">
        <v>0</v>
      </c>
      <c r="G23" s="1030">
        <v>0</v>
      </c>
      <c r="H23" s="2025">
        <v>0</v>
      </c>
      <c r="I23" s="2026">
        <v>0</v>
      </c>
      <c r="J23" s="1030">
        <v>0</v>
      </c>
      <c r="K23" s="2025">
        <v>0</v>
      </c>
      <c r="L23" s="1270"/>
    </row>
    <row r="24" spans="1:12" s="1248" customFormat="1" ht="13.5" x14ac:dyDescent="0.25">
      <c r="A24" s="1191" t="s">
        <v>138</v>
      </c>
      <c r="B24" s="318"/>
      <c r="C24" s="1030">
        <v>0</v>
      </c>
      <c r="D24" s="1030">
        <v>0</v>
      </c>
      <c r="E24" s="2024">
        <v>0</v>
      </c>
      <c r="F24" s="1031">
        <v>0</v>
      </c>
      <c r="G24" s="1030">
        <v>0</v>
      </c>
      <c r="H24" s="2025">
        <v>0</v>
      </c>
      <c r="I24" s="2026">
        <v>0</v>
      </c>
      <c r="J24" s="1030">
        <v>0</v>
      </c>
      <c r="K24" s="2025">
        <v>0</v>
      </c>
      <c r="L24" s="1270"/>
    </row>
    <row r="25" spans="1:12" s="1248" customFormat="1" ht="13.5" x14ac:dyDescent="0.25">
      <c r="A25" s="1191" t="s">
        <v>293</v>
      </c>
      <c r="B25" s="318">
        <v>3</v>
      </c>
      <c r="C25" s="1030">
        <v>0</v>
      </c>
      <c r="D25" s="1030">
        <v>0</v>
      </c>
      <c r="E25" s="2024">
        <v>0</v>
      </c>
      <c r="F25" s="1031">
        <v>0</v>
      </c>
      <c r="G25" s="1030">
        <v>0</v>
      </c>
      <c r="H25" s="2025">
        <v>0</v>
      </c>
      <c r="I25" s="2026">
        <v>0</v>
      </c>
      <c r="J25" s="1030">
        <v>0</v>
      </c>
      <c r="K25" s="2025">
        <v>0</v>
      </c>
      <c r="L25" s="1270"/>
    </row>
    <row r="26" spans="1:12" ht="5.0999999999999996" customHeight="1" x14ac:dyDescent="0.25">
      <c r="A26" s="658"/>
      <c r="B26" s="318"/>
      <c r="C26" s="205"/>
      <c r="D26" s="205"/>
      <c r="E26" s="256"/>
      <c r="F26" s="246"/>
      <c r="G26" s="205"/>
      <c r="H26" s="208"/>
      <c r="I26" s="246"/>
      <c r="J26" s="205"/>
      <c r="K26" s="256"/>
      <c r="L26" s="338"/>
    </row>
    <row r="27" spans="1:12" ht="17.25" customHeight="1" x14ac:dyDescent="0.25">
      <c r="A27" s="651" t="s">
        <v>1575</v>
      </c>
      <c r="B27" s="318"/>
      <c r="C27" s="357">
        <v>5712.01</v>
      </c>
      <c r="D27" s="357">
        <v>5973.71</v>
      </c>
      <c r="E27" s="313">
        <v>1970.48</v>
      </c>
      <c r="F27" s="358">
        <v>0</v>
      </c>
      <c r="G27" s="357">
        <v>167000</v>
      </c>
      <c r="H27" s="359">
        <v>167000</v>
      </c>
      <c r="I27" s="358">
        <v>201000</v>
      </c>
      <c r="J27" s="357">
        <v>213060</v>
      </c>
      <c r="K27" s="313">
        <v>225843.6</v>
      </c>
      <c r="L27" s="338"/>
    </row>
    <row r="28" spans="1:12" ht="11.25" customHeight="1" x14ac:dyDescent="0.25">
      <c r="A28" s="249" t="s">
        <v>2</v>
      </c>
      <c r="B28" s="318"/>
      <c r="C28" s="1030">
        <v>2156.1999999999998</v>
      </c>
      <c r="D28" s="1030">
        <v>3308.81</v>
      </c>
      <c r="E28" s="2024">
        <v>848.42</v>
      </c>
      <c r="F28" s="1031">
        <v>0</v>
      </c>
      <c r="G28" s="1030">
        <v>120000</v>
      </c>
      <c r="H28" s="2025">
        <v>120000</v>
      </c>
      <c r="I28" s="2026">
        <v>120000</v>
      </c>
      <c r="J28" s="1030">
        <v>127200</v>
      </c>
      <c r="K28" s="2025">
        <v>134832</v>
      </c>
      <c r="L28" s="1270"/>
    </row>
    <row r="29" spans="1:12" ht="11.25" customHeight="1" x14ac:dyDescent="0.25">
      <c r="A29" s="249" t="s">
        <v>1595</v>
      </c>
      <c r="B29" s="318"/>
      <c r="C29" s="1030">
        <v>0</v>
      </c>
      <c r="D29" s="1030">
        <v>0</v>
      </c>
      <c r="E29" s="2024">
        <v>0</v>
      </c>
      <c r="F29" s="1031">
        <v>0</v>
      </c>
      <c r="G29" s="1030">
        <v>0</v>
      </c>
      <c r="H29" s="2025">
        <v>0</v>
      </c>
      <c r="I29" s="2026">
        <v>0</v>
      </c>
      <c r="J29" s="1030">
        <v>0</v>
      </c>
      <c r="K29" s="2025">
        <v>0</v>
      </c>
      <c r="L29" s="1270"/>
    </row>
    <row r="30" spans="1:12" ht="11.25" customHeight="1" x14ac:dyDescent="0.25">
      <c r="A30" s="249" t="s">
        <v>506</v>
      </c>
      <c r="B30" s="318"/>
      <c r="C30" s="1030">
        <v>0</v>
      </c>
      <c r="D30" s="1030">
        <v>0</v>
      </c>
      <c r="E30" s="2024">
        <v>0</v>
      </c>
      <c r="F30" s="1031">
        <v>0</v>
      </c>
      <c r="G30" s="1030">
        <v>0</v>
      </c>
      <c r="H30" s="2025">
        <v>0</v>
      </c>
      <c r="I30" s="2026">
        <v>0</v>
      </c>
      <c r="J30" s="1030">
        <v>0</v>
      </c>
      <c r="K30" s="2025">
        <v>0</v>
      </c>
      <c r="L30" s="1270"/>
    </row>
    <row r="31" spans="1:12" ht="11.25" customHeight="1" x14ac:dyDescent="0.25">
      <c r="A31" s="249" t="s">
        <v>1</v>
      </c>
      <c r="B31" s="318"/>
      <c r="C31" s="1030">
        <v>0</v>
      </c>
      <c r="D31" s="1030">
        <v>0</v>
      </c>
      <c r="E31" s="2024">
        <v>0</v>
      </c>
      <c r="F31" s="1031">
        <v>0</v>
      </c>
      <c r="G31" s="1030">
        <v>0</v>
      </c>
      <c r="H31" s="2025">
        <v>0</v>
      </c>
      <c r="I31" s="2026">
        <v>0</v>
      </c>
      <c r="J31" s="1030">
        <v>0</v>
      </c>
      <c r="K31" s="2025">
        <v>0</v>
      </c>
      <c r="L31" s="1270"/>
    </row>
    <row r="32" spans="1:12" ht="11.25" customHeight="1" x14ac:dyDescent="0.25">
      <c r="A32" s="249" t="s">
        <v>340</v>
      </c>
      <c r="B32" s="318"/>
      <c r="C32" s="1030">
        <v>2218.31</v>
      </c>
      <c r="D32" s="1030">
        <v>2065.87</v>
      </c>
      <c r="E32" s="2024">
        <v>1000</v>
      </c>
      <c r="F32" s="1031">
        <v>0</v>
      </c>
      <c r="G32" s="1030">
        <v>2000</v>
      </c>
      <c r="H32" s="2025">
        <v>2000</v>
      </c>
      <c r="I32" s="2026">
        <v>1000</v>
      </c>
      <c r="J32" s="1030">
        <v>1060</v>
      </c>
      <c r="K32" s="2025">
        <v>1123.6000000000001</v>
      </c>
      <c r="L32" s="1270"/>
    </row>
    <row r="33" spans="1:15" ht="11.25" customHeight="1" x14ac:dyDescent="0.25">
      <c r="A33" s="249" t="s">
        <v>0</v>
      </c>
      <c r="B33" s="318"/>
      <c r="C33" s="1030">
        <v>0</v>
      </c>
      <c r="D33" s="1030">
        <v>0</v>
      </c>
      <c r="E33" s="2024">
        <v>0</v>
      </c>
      <c r="F33" s="1031">
        <v>0</v>
      </c>
      <c r="G33" s="1030">
        <v>0</v>
      </c>
      <c r="H33" s="2025">
        <v>0</v>
      </c>
      <c r="I33" s="2026">
        <v>0</v>
      </c>
      <c r="J33" s="1030">
        <v>0</v>
      </c>
      <c r="K33" s="2025">
        <v>0</v>
      </c>
      <c r="L33" s="1270"/>
    </row>
    <row r="34" spans="1:15" ht="11.25" customHeight="1" x14ac:dyDescent="0.25">
      <c r="A34" s="249" t="s">
        <v>1596</v>
      </c>
      <c r="B34" s="318"/>
      <c r="C34" s="1030">
        <v>1337.5</v>
      </c>
      <c r="D34" s="1030">
        <v>599.03</v>
      </c>
      <c r="E34" s="2024">
        <v>122.06</v>
      </c>
      <c r="F34" s="1031">
        <v>0</v>
      </c>
      <c r="G34" s="1030">
        <v>45000</v>
      </c>
      <c r="H34" s="2025">
        <v>45000</v>
      </c>
      <c r="I34" s="2026">
        <v>80000</v>
      </c>
      <c r="J34" s="1030">
        <v>84800</v>
      </c>
      <c r="K34" s="2025">
        <v>89888</v>
      </c>
      <c r="L34" s="1270"/>
    </row>
    <row r="35" spans="1:15" ht="11.25" customHeight="1" x14ac:dyDescent="0.25">
      <c r="A35" s="249" t="s">
        <v>964</v>
      </c>
      <c r="B35" s="318"/>
      <c r="C35" s="1030">
        <v>0</v>
      </c>
      <c r="D35" s="1030">
        <v>0</v>
      </c>
      <c r="E35" s="2024">
        <v>0</v>
      </c>
      <c r="F35" s="1031">
        <v>0</v>
      </c>
      <c r="G35" s="1030">
        <v>0</v>
      </c>
      <c r="H35" s="2025">
        <v>0</v>
      </c>
      <c r="I35" s="2026">
        <v>0</v>
      </c>
      <c r="J35" s="1030">
        <v>0</v>
      </c>
      <c r="K35" s="2025">
        <v>0</v>
      </c>
      <c r="L35" s="1270"/>
    </row>
    <row r="36" spans="1:15" ht="11.25" customHeight="1" x14ac:dyDescent="0.25">
      <c r="A36" s="249" t="s">
        <v>1531</v>
      </c>
      <c r="B36" s="318">
        <v>7</v>
      </c>
      <c r="C36" s="1030">
        <v>0</v>
      </c>
      <c r="D36" s="1030">
        <v>0</v>
      </c>
      <c r="E36" s="2024">
        <v>0</v>
      </c>
      <c r="F36" s="1031">
        <v>0</v>
      </c>
      <c r="G36" s="1030">
        <v>0</v>
      </c>
      <c r="H36" s="2025">
        <v>0</v>
      </c>
      <c r="I36" s="2026">
        <v>0</v>
      </c>
      <c r="J36" s="1030">
        <v>0</v>
      </c>
      <c r="K36" s="2025">
        <v>0</v>
      </c>
      <c r="L36" s="1270"/>
    </row>
    <row r="37" spans="1:15" ht="11.25" customHeight="1" x14ac:dyDescent="0.25">
      <c r="A37" s="249" t="s">
        <v>1289</v>
      </c>
      <c r="B37" s="318"/>
      <c r="C37" s="1030">
        <v>0</v>
      </c>
      <c r="D37" s="1030">
        <v>0</v>
      </c>
      <c r="E37" s="2024">
        <v>0</v>
      </c>
      <c r="F37" s="1031">
        <v>0</v>
      </c>
      <c r="G37" s="1030">
        <v>0</v>
      </c>
      <c r="H37" s="2025">
        <v>0</v>
      </c>
      <c r="I37" s="2026">
        <v>0</v>
      </c>
      <c r="J37" s="1030">
        <v>0</v>
      </c>
      <c r="K37" s="2025">
        <v>0</v>
      </c>
      <c r="L37" s="1270"/>
      <c r="O37" s="338"/>
    </row>
    <row r="38" spans="1:15" ht="11.25" customHeight="1" x14ac:dyDescent="0.25">
      <c r="A38" s="249" t="s">
        <v>724</v>
      </c>
      <c r="B38" s="318"/>
      <c r="C38" s="1030">
        <v>0</v>
      </c>
      <c r="D38" s="1030">
        <v>0</v>
      </c>
      <c r="E38" s="2024">
        <v>0</v>
      </c>
      <c r="F38" s="1031">
        <v>0</v>
      </c>
      <c r="G38" s="1030">
        <v>0</v>
      </c>
      <c r="H38" s="2025">
        <v>0</v>
      </c>
      <c r="I38" s="2026">
        <v>0</v>
      </c>
      <c r="J38" s="1030">
        <v>0</v>
      </c>
      <c r="K38" s="2025">
        <v>0</v>
      </c>
      <c r="L38" s="1270"/>
    </row>
    <row r="39" spans="1:15" ht="11.25" customHeight="1" x14ac:dyDescent="0.25">
      <c r="A39" s="249" t="s">
        <v>504</v>
      </c>
      <c r="B39" s="318"/>
      <c r="C39" s="1030">
        <v>0</v>
      </c>
      <c r="D39" s="1030">
        <v>0</v>
      </c>
      <c r="E39" s="2024">
        <v>0</v>
      </c>
      <c r="F39" s="1031">
        <v>0</v>
      </c>
      <c r="G39" s="1030">
        <v>0</v>
      </c>
      <c r="H39" s="2025">
        <v>0</v>
      </c>
      <c r="I39" s="2026">
        <v>0</v>
      </c>
      <c r="J39" s="1030">
        <v>0</v>
      </c>
      <c r="K39" s="2025">
        <v>0</v>
      </c>
      <c r="L39" s="1270"/>
    </row>
    <row r="40" spans="1:15" ht="11.25" customHeight="1" x14ac:dyDescent="0.25">
      <c r="A40" s="249" t="s">
        <v>31</v>
      </c>
      <c r="B40" s="318">
        <v>8</v>
      </c>
      <c r="C40" s="1030">
        <v>0</v>
      </c>
      <c r="D40" s="1030">
        <v>0</v>
      </c>
      <c r="E40" s="2024">
        <v>0</v>
      </c>
      <c r="F40" s="1031">
        <v>0</v>
      </c>
      <c r="G40" s="1030">
        <v>0</v>
      </c>
      <c r="H40" s="2025">
        <v>0</v>
      </c>
      <c r="I40" s="2026">
        <v>0</v>
      </c>
      <c r="J40" s="1030">
        <v>0</v>
      </c>
      <c r="K40" s="2025">
        <v>0</v>
      </c>
      <c r="L40" s="338"/>
    </row>
    <row r="41" spans="1:15" ht="11.25" customHeight="1" x14ac:dyDescent="0.25">
      <c r="A41" s="249" t="s">
        <v>293</v>
      </c>
      <c r="B41" s="318"/>
      <c r="C41" s="1030">
        <v>0</v>
      </c>
      <c r="D41" s="1030">
        <v>0</v>
      </c>
      <c r="E41" s="2024">
        <v>0</v>
      </c>
      <c r="F41" s="1031">
        <v>0</v>
      </c>
      <c r="G41" s="1030">
        <v>0</v>
      </c>
      <c r="H41" s="2025">
        <v>0</v>
      </c>
      <c r="I41" s="2026">
        <v>0</v>
      </c>
      <c r="J41" s="1030">
        <v>0</v>
      </c>
      <c r="K41" s="2025">
        <v>0</v>
      </c>
      <c r="L41" s="1270"/>
    </row>
    <row r="42" spans="1:15" ht="5.0999999999999996" customHeight="1" x14ac:dyDescent="0.25">
      <c r="A42" s="658"/>
      <c r="B42" s="318"/>
      <c r="C42" s="205"/>
      <c r="D42" s="205"/>
      <c r="E42" s="256"/>
      <c r="F42" s="246"/>
      <c r="G42" s="205"/>
      <c r="H42" s="208"/>
      <c r="I42" s="246"/>
      <c r="J42" s="205"/>
      <c r="K42" s="256"/>
      <c r="L42" s="338"/>
    </row>
    <row r="43" spans="1:15" ht="17.25" customHeight="1" x14ac:dyDescent="0.25">
      <c r="A43" s="651" t="s">
        <v>967</v>
      </c>
      <c r="B43" s="318"/>
      <c r="C43" s="205">
        <v>0</v>
      </c>
      <c r="D43" s="205">
        <v>0</v>
      </c>
      <c r="E43" s="256">
        <v>0</v>
      </c>
      <c r="F43" s="246">
        <v>0</v>
      </c>
      <c r="G43" s="205">
        <v>0</v>
      </c>
      <c r="H43" s="208">
        <v>0</v>
      </c>
      <c r="I43" s="246">
        <v>0</v>
      </c>
      <c r="J43" s="205">
        <v>0</v>
      </c>
      <c r="K43" s="256">
        <v>0</v>
      </c>
      <c r="L43" s="338"/>
    </row>
    <row r="44" spans="1:15" ht="11.25" customHeight="1" x14ac:dyDescent="0.25">
      <c r="A44" s="249" t="s">
        <v>1261</v>
      </c>
      <c r="B44" s="318"/>
      <c r="C44" s="1030">
        <v>0</v>
      </c>
      <c r="D44" s="1030">
        <v>0</v>
      </c>
      <c r="E44" s="2024">
        <v>0</v>
      </c>
      <c r="F44" s="2611">
        <v>0</v>
      </c>
      <c r="G44" s="2032">
        <v>0</v>
      </c>
      <c r="H44" s="2612">
        <v>0</v>
      </c>
      <c r="I44" s="2611">
        <v>0</v>
      </c>
      <c r="J44" s="2032">
        <v>0</v>
      </c>
      <c r="K44" s="2610">
        <v>0</v>
      </c>
      <c r="L44" s="338"/>
    </row>
    <row r="45" spans="1:15" ht="11.25" customHeight="1" x14ac:dyDescent="0.25">
      <c r="A45" s="249" t="s">
        <v>293</v>
      </c>
      <c r="B45" s="318">
        <v>9</v>
      </c>
      <c r="C45" s="1030">
        <v>0</v>
      </c>
      <c r="D45" s="1030">
        <v>0</v>
      </c>
      <c r="E45" s="2024">
        <v>0</v>
      </c>
      <c r="F45" s="2614">
        <v>0</v>
      </c>
      <c r="G45" s="2123">
        <v>0</v>
      </c>
      <c r="H45" s="2615">
        <v>0</v>
      </c>
      <c r="I45" s="2614">
        <v>0</v>
      </c>
      <c r="J45" s="2123">
        <v>0</v>
      </c>
      <c r="K45" s="2613">
        <v>0</v>
      </c>
      <c r="L45" s="338"/>
    </row>
    <row r="46" spans="1:15" ht="5.0999999999999996" customHeight="1" x14ac:dyDescent="0.25">
      <c r="A46" s="658"/>
      <c r="B46" s="318"/>
      <c r="C46" s="205"/>
      <c r="D46" s="205"/>
      <c r="E46" s="256"/>
      <c r="F46" s="246"/>
      <c r="G46" s="205"/>
      <c r="H46" s="208"/>
      <c r="I46" s="246"/>
      <c r="J46" s="205"/>
      <c r="K46" s="256"/>
      <c r="L46" s="338"/>
    </row>
    <row r="47" spans="1:15" ht="17.25" customHeight="1" x14ac:dyDescent="0.25">
      <c r="A47" s="651" t="s">
        <v>968</v>
      </c>
      <c r="B47" s="318"/>
      <c r="C47" s="357">
        <v>0</v>
      </c>
      <c r="D47" s="357">
        <v>0</v>
      </c>
      <c r="E47" s="313">
        <v>0</v>
      </c>
      <c r="F47" s="358">
        <v>0</v>
      </c>
      <c r="G47" s="357">
        <v>0</v>
      </c>
      <c r="H47" s="359">
        <v>0</v>
      </c>
      <c r="I47" s="358">
        <v>0</v>
      </c>
      <c r="J47" s="357">
        <v>0</v>
      </c>
      <c r="K47" s="313">
        <v>0</v>
      </c>
      <c r="L47" s="338"/>
    </row>
    <row r="48" spans="1:15" ht="11.25" customHeight="1" x14ac:dyDescent="0.25">
      <c r="A48" s="249" t="s">
        <v>505</v>
      </c>
      <c r="B48" s="318"/>
      <c r="C48" s="1030">
        <v>0</v>
      </c>
      <c r="D48" s="1030">
        <v>0</v>
      </c>
      <c r="E48" s="2024">
        <v>0</v>
      </c>
      <c r="F48" s="2602">
        <v>0</v>
      </c>
      <c r="G48" s="2027">
        <v>0</v>
      </c>
      <c r="H48" s="2606">
        <v>0</v>
      </c>
      <c r="I48" s="2602">
        <v>0</v>
      </c>
      <c r="J48" s="2027">
        <v>0</v>
      </c>
      <c r="K48" s="2605">
        <v>0</v>
      </c>
      <c r="L48" s="1270"/>
    </row>
    <row r="49" spans="1:12" ht="11.25" customHeight="1" x14ac:dyDescent="0.25">
      <c r="A49" s="249" t="s">
        <v>293</v>
      </c>
      <c r="B49" s="318"/>
      <c r="C49" s="1030">
        <v>0</v>
      </c>
      <c r="D49" s="1030">
        <v>0</v>
      </c>
      <c r="E49" s="2024">
        <v>0</v>
      </c>
      <c r="F49" s="2608">
        <v>0</v>
      </c>
      <c r="G49" s="2217">
        <v>0</v>
      </c>
      <c r="H49" s="2609">
        <v>0</v>
      </c>
      <c r="I49" s="2608">
        <v>0</v>
      </c>
      <c r="J49" s="2217">
        <v>0</v>
      </c>
      <c r="K49" s="2607">
        <v>0</v>
      </c>
      <c r="L49" s="338"/>
    </row>
    <row r="50" spans="1:12" ht="5.0999999999999996" customHeight="1" x14ac:dyDescent="0.25">
      <c r="A50" s="658"/>
      <c r="B50" s="318"/>
      <c r="C50" s="205"/>
      <c r="D50" s="205"/>
      <c r="E50" s="256"/>
      <c r="F50" s="246"/>
      <c r="G50" s="205"/>
      <c r="H50" s="208"/>
      <c r="I50" s="246"/>
      <c r="J50" s="205"/>
      <c r="K50" s="256"/>
      <c r="L50" s="338"/>
    </row>
    <row r="51" spans="1:12" ht="17.25" customHeight="1" x14ac:dyDescent="0.25">
      <c r="A51" s="651" t="s">
        <v>969</v>
      </c>
      <c r="B51" s="318"/>
      <c r="C51" s="357">
        <v>761286.32000000007</v>
      </c>
      <c r="D51" s="357">
        <v>731710.2</v>
      </c>
      <c r="E51" s="313">
        <v>1144460.6199999999</v>
      </c>
      <c r="F51" s="358">
        <v>0</v>
      </c>
      <c r="G51" s="357">
        <v>2014750</v>
      </c>
      <c r="H51" s="359">
        <v>2014750</v>
      </c>
      <c r="I51" s="358">
        <v>1485250</v>
      </c>
      <c r="J51" s="357">
        <v>1574365</v>
      </c>
      <c r="K51" s="313">
        <v>1668826.9000000001</v>
      </c>
      <c r="L51" s="338"/>
    </row>
    <row r="52" spans="1:12" ht="11.25" customHeight="1" x14ac:dyDescent="0.25">
      <c r="A52" s="249" t="s">
        <v>632</v>
      </c>
      <c r="B52" s="318"/>
      <c r="C52" s="1030">
        <v>487043.23000000004</v>
      </c>
      <c r="D52" s="1030">
        <v>341157.74</v>
      </c>
      <c r="E52" s="2024">
        <v>713682.83</v>
      </c>
      <c r="F52" s="2602">
        <v>0</v>
      </c>
      <c r="G52" s="2027">
        <v>871000</v>
      </c>
      <c r="H52" s="2606">
        <v>871000</v>
      </c>
      <c r="I52" s="2602">
        <v>715000</v>
      </c>
      <c r="J52" s="2027">
        <v>757900</v>
      </c>
      <c r="K52" s="2605">
        <v>803374</v>
      </c>
      <c r="L52" s="1270"/>
    </row>
    <row r="53" spans="1:12" ht="11.25" customHeight="1" x14ac:dyDescent="0.25">
      <c r="A53" s="249" t="s">
        <v>32</v>
      </c>
      <c r="B53" s="318">
        <v>10</v>
      </c>
      <c r="C53" s="852">
        <v>0</v>
      </c>
      <c r="D53" s="852">
        <v>0</v>
      </c>
      <c r="E53" s="853">
        <v>0</v>
      </c>
      <c r="F53" s="854">
        <v>0</v>
      </c>
      <c r="G53" s="852">
        <v>0</v>
      </c>
      <c r="H53" s="855">
        <v>0</v>
      </c>
      <c r="I53" s="854">
        <v>0</v>
      </c>
      <c r="J53" s="852">
        <v>0</v>
      </c>
      <c r="K53" s="853">
        <v>0</v>
      </c>
      <c r="L53" s="338"/>
    </row>
    <row r="54" spans="1:12" ht="11.25" customHeight="1" x14ac:dyDescent="0.25">
      <c r="A54" s="249" t="s">
        <v>1249</v>
      </c>
      <c r="B54" s="318"/>
      <c r="C54" s="1030">
        <v>7465</v>
      </c>
      <c r="D54" s="1030">
        <v>1389.77</v>
      </c>
      <c r="E54" s="2024">
        <v>3951</v>
      </c>
      <c r="F54" s="1031">
        <v>0</v>
      </c>
      <c r="G54" s="1030">
        <v>230000</v>
      </c>
      <c r="H54" s="2025">
        <v>230000</v>
      </c>
      <c r="I54" s="2026">
        <v>55000</v>
      </c>
      <c r="J54" s="1030">
        <v>58300</v>
      </c>
      <c r="K54" s="2025">
        <v>61798</v>
      </c>
      <c r="L54" s="1270"/>
    </row>
    <row r="55" spans="1:12" ht="11.25" customHeight="1" x14ac:dyDescent="0.25">
      <c r="A55" s="249" t="s">
        <v>633</v>
      </c>
      <c r="B55" s="318"/>
      <c r="C55" s="1030">
        <v>0</v>
      </c>
      <c r="D55" s="1030">
        <v>0</v>
      </c>
      <c r="E55" s="2024">
        <v>0</v>
      </c>
      <c r="F55" s="1031">
        <v>0</v>
      </c>
      <c r="G55" s="1030">
        <v>0</v>
      </c>
      <c r="H55" s="2025">
        <v>0</v>
      </c>
      <c r="I55" s="2026">
        <v>0</v>
      </c>
      <c r="J55" s="1030">
        <v>0</v>
      </c>
      <c r="K55" s="2025">
        <v>0</v>
      </c>
      <c r="L55" s="1270"/>
    </row>
    <row r="56" spans="1:12" ht="11.25" customHeight="1" x14ac:dyDescent="0.25">
      <c r="A56" s="249" t="s">
        <v>634</v>
      </c>
      <c r="B56" s="318"/>
      <c r="C56" s="1030">
        <v>143209.78</v>
      </c>
      <c r="D56" s="1030">
        <v>133990.77999999997</v>
      </c>
      <c r="E56" s="2024">
        <v>246417.72999999998</v>
      </c>
      <c r="F56" s="1031">
        <v>0</v>
      </c>
      <c r="G56" s="1030">
        <v>478750</v>
      </c>
      <c r="H56" s="2025">
        <v>478750</v>
      </c>
      <c r="I56" s="2026">
        <v>472250</v>
      </c>
      <c r="J56" s="1030">
        <v>500585</v>
      </c>
      <c r="K56" s="2025">
        <v>530620.10000000009</v>
      </c>
      <c r="L56" s="1270"/>
    </row>
    <row r="57" spans="1:12" ht="11.25" customHeight="1" x14ac:dyDescent="0.25">
      <c r="A57" s="249" t="s">
        <v>1250</v>
      </c>
      <c r="B57" s="318"/>
      <c r="C57" s="1030">
        <v>0</v>
      </c>
      <c r="D57" s="1030">
        <v>0</v>
      </c>
      <c r="E57" s="2024">
        <v>0</v>
      </c>
      <c r="F57" s="1031">
        <v>0</v>
      </c>
      <c r="G57" s="1030">
        <v>0</v>
      </c>
      <c r="H57" s="2025">
        <v>0</v>
      </c>
      <c r="I57" s="2026">
        <v>0</v>
      </c>
      <c r="J57" s="1030">
        <v>0</v>
      </c>
      <c r="K57" s="2025">
        <v>0</v>
      </c>
      <c r="L57" s="1270"/>
    </row>
    <row r="58" spans="1:12" ht="11.25" customHeight="1" x14ac:dyDescent="0.25">
      <c r="A58" s="249" t="s">
        <v>1251</v>
      </c>
      <c r="B58" s="318"/>
      <c r="C58" s="1030">
        <v>0</v>
      </c>
      <c r="D58" s="1030">
        <v>0</v>
      </c>
      <c r="E58" s="2024">
        <v>0</v>
      </c>
      <c r="F58" s="1031">
        <v>0</v>
      </c>
      <c r="G58" s="1030">
        <v>0</v>
      </c>
      <c r="H58" s="2025">
        <v>0</v>
      </c>
      <c r="I58" s="2026">
        <v>0</v>
      </c>
      <c r="J58" s="1030">
        <v>0</v>
      </c>
      <c r="K58" s="2025">
        <v>0</v>
      </c>
      <c r="L58" s="1269"/>
    </row>
    <row r="59" spans="1:12" ht="11.25" customHeight="1" x14ac:dyDescent="0.25">
      <c r="A59" s="249" t="s">
        <v>1529</v>
      </c>
      <c r="B59" s="318"/>
      <c r="C59" s="1030">
        <v>123568.31</v>
      </c>
      <c r="D59" s="1030">
        <v>255171.91</v>
      </c>
      <c r="E59" s="2024">
        <v>180409.06</v>
      </c>
      <c r="F59" s="1031">
        <v>0</v>
      </c>
      <c r="G59" s="1030">
        <v>435000</v>
      </c>
      <c r="H59" s="2025">
        <v>435000</v>
      </c>
      <c r="I59" s="2026">
        <v>243000</v>
      </c>
      <c r="J59" s="1030">
        <v>257580</v>
      </c>
      <c r="K59" s="2025">
        <v>273034.8</v>
      </c>
      <c r="L59" s="1270"/>
    </row>
    <row r="60" spans="1:12" ht="11.25" customHeight="1" x14ac:dyDescent="0.25">
      <c r="A60" s="249" t="s">
        <v>323</v>
      </c>
      <c r="B60" s="318"/>
      <c r="C60" s="1030">
        <v>0</v>
      </c>
      <c r="D60" s="1030">
        <v>0</v>
      </c>
      <c r="E60" s="2024">
        <v>0</v>
      </c>
      <c r="F60" s="1031">
        <v>0</v>
      </c>
      <c r="G60" s="1030">
        <v>0</v>
      </c>
      <c r="H60" s="2025">
        <v>0</v>
      </c>
      <c r="I60" s="2026">
        <v>0</v>
      </c>
      <c r="J60" s="1030">
        <v>0</v>
      </c>
      <c r="K60" s="2025">
        <v>0</v>
      </c>
      <c r="L60" s="1270"/>
    </row>
    <row r="61" spans="1:12" ht="11.25" customHeight="1" x14ac:dyDescent="0.25">
      <c r="A61" s="249" t="s">
        <v>322</v>
      </c>
      <c r="B61" s="318"/>
      <c r="C61" s="1030">
        <v>0</v>
      </c>
      <c r="D61" s="1030">
        <v>0</v>
      </c>
      <c r="E61" s="2024">
        <v>0</v>
      </c>
      <c r="F61" s="1031">
        <v>0</v>
      </c>
      <c r="G61" s="1030">
        <v>0</v>
      </c>
      <c r="H61" s="2025">
        <v>0</v>
      </c>
      <c r="I61" s="2026">
        <v>0</v>
      </c>
      <c r="J61" s="1030">
        <v>0</v>
      </c>
      <c r="K61" s="2025">
        <v>0</v>
      </c>
      <c r="L61" s="1270"/>
    </row>
    <row r="62" spans="1:12" ht="11.25" customHeight="1" x14ac:dyDescent="0.25">
      <c r="A62" s="249" t="s">
        <v>635</v>
      </c>
      <c r="B62" s="318"/>
      <c r="C62" s="1030">
        <v>0</v>
      </c>
      <c r="D62" s="1030">
        <v>0</v>
      </c>
      <c r="E62" s="2024">
        <v>0</v>
      </c>
      <c r="F62" s="1031">
        <v>0</v>
      </c>
      <c r="G62" s="1030">
        <v>0</v>
      </c>
      <c r="H62" s="2025">
        <v>0</v>
      </c>
      <c r="I62" s="2026">
        <v>0</v>
      </c>
      <c r="J62" s="1030">
        <v>0</v>
      </c>
      <c r="K62" s="2025">
        <v>0</v>
      </c>
      <c r="L62" s="1270"/>
    </row>
    <row r="63" spans="1:12" ht="11.25" customHeight="1" x14ac:dyDescent="0.25">
      <c r="A63" s="249" t="s">
        <v>293</v>
      </c>
      <c r="B63" s="318"/>
      <c r="C63" s="1030">
        <v>0</v>
      </c>
      <c r="D63" s="1030">
        <v>0</v>
      </c>
      <c r="E63" s="2024">
        <v>0</v>
      </c>
      <c r="F63" s="1031">
        <v>0</v>
      </c>
      <c r="G63" s="1030">
        <v>0</v>
      </c>
      <c r="H63" s="2025">
        <v>0</v>
      </c>
      <c r="I63" s="2026">
        <v>0</v>
      </c>
      <c r="J63" s="1030">
        <v>0</v>
      </c>
      <c r="K63" s="2025">
        <v>0</v>
      </c>
      <c r="L63" s="1270"/>
    </row>
    <row r="64" spans="1:12" ht="5.0999999999999996" customHeight="1" x14ac:dyDescent="0.25">
      <c r="A64" s="768"/>
      <c r="B64" s="318"/>
      <c r="C64" s="205"/>
      <c r="D64" s="205"/>
      <c r="E64" s="256"/>
      <c r="F64" s="246"/>
      <c r="G64" s="205"/>
      <c r="H64" s="208"/>
      <c r="I64" s="246"/>
      <c r="J64" s="205"/>
      <c r="K64" s="256"/>
      <c r="L64" s="338"/>
    </row>
    <row r="65" spans="1:12" ht="13.5" customHeight="1" x14ac:dyDescent="0.25">
      <c r="A65" s="651" t="s">
        <v>1544</v>
      </c>
      <c r="B65" s="318"/>
      <c r="C65" s="205">
        <v>0</v>
      </c>
      <c r="D65" s="205">
        <v>0</v>
      </c>
      <c r="E65" s="256">
        <v>0</v>
      </c>
      <c r="F65" s="246">
        <v>0</v>
      </c>
      <c r="G65" s="205">
        <v>0</v>
      </c>
      <c r="H65" s="208">
        <v>0</v>
      </c>
      <c r="I65" s="246">
        <v>0</v>
      </c>
      <c r="J65" s="205">
        <v>0</v>
      </c>
      <c r="K65" s="256">
        <v>0</v>
      </c>
      <c r="L65" s="338"/>
    </row>
    <row r="66" spans="1:12" ht="11.25" customHeight="1" x14ac:dyDescent="0.25">
      <c r="A66" s="2560" t="s">
        <v>1262</v>
      </c>
      <c r="B66" s="318"/>
      <c r="C66" s="1030">
        <v>0</v>
      </c>
      <c r="D66" s="1030">
        <v>0</v>
      </c>
      <c r="E66" s="2024">
        <v>0</v>
      </c>
      <c r="F66" s="2602">
        <v>0</v>
      </c>
      <c r="G66" s="2027">
        <v>0</v>
      </c>
      <c r="H66" s="2606">
        <v>0</v>
      </c>
      <c r="I66" s="2602">
        <v>0</v>
      </c>
      <c r="J66" s="2027">
        <v>0</v>
      </c>
      <c r="K66" s="2605">
        <v>0</v>
      </c>
      <c r="L66" s="338"/>
    </row>
    <row r="67" spans="1:12" ht="11.25" customHeight="1" x14ac:dyDescent="0.25">
      <c r="A67" s="2560"/>
      <c r="B67" s="318"/>
      <c r="C67" s="1030">
        <v>0</v>
      </c>
      <c r="D67" s="1030">
        <v>0</v>
      </c>
      <c r="E67" s="2024">
        <v>0</v>
      </c>
      <c r="F67" s="2608">
        <v>0</v>
      </c>
      <c r="G67" s="2217">
        <v>0</v>
      </c>
      <c r="H67" s="2609">
        <v>0</v>
      </c>
      <c r="I67" s="2608">
        <v>0</v>
      </c>
      <c r="J67" s="2217">
        <v>0</v>
      </c>
      <c r="K67" s="2607">
        <v>0</v>
      </c>
      <c r="L67" s="338"/>
    </row>
    <row r="68" spans="1:12" ht="5.0999999999999996" customHeight="1" x14ac:dyDescent="0.25">
      <c r="A68" s="768"/>
      <c r="B68" s="318"/>
      <c r="C68" s="205"/>
      <c r="D68" s="205"/>
      <c r="E68" s="256"/>
      <c r="F68" s="246"/>
      <c r="G68" s="205"/>
      <c r="H68" s="208"/>
      <c r="I68" s="246"/>
      <c r="J68" s="205"/>
      <c r="K68" s="256"/>
      <c r="L68" s="338"/>
    </row>
    <row r="69" spans="1:12" ht="13.5" customHeight="1" x14ac:dyDescent="0.25">
      <c r="A69" s="651" t="s">
        <v>136</v>
      </c>
      <c r="B69" s="318"/>
      <c r="C69" s="205">
        <v>0</v>
      </c>
      <c r="D69" s="205">
        <v>0</v>
      </c>
      <c r="E69" s="256">
        <v>0</v>
      </c>
      <c r="F69" s="246">
        <v>0</v>
      </c>
      <c r="G69" s="205">
        <v>0</v>
      </c>
      <c r="H69" s="208">
        <v>0</v>
      </c>
      <c r="I69" s="246">
        <v>0</v>
      </c>
      <c r="J69" s="205">
        <v>0</v>
      </c>
      <c r="K69" s="256">
        <v>0</v>
      </c>
      <c r="L69" s="338"/>
    </row>
    <row r="70" spans="1:12" ht="11.25" customHeight="1" x14ac:dyDescent="0.25">
      <c r="A70" s="2560" t="s">
        <v>1262</v>
      </c>
      <c r="B70" s="318"/>
      <c r="C70" s="1030">
        <v>0</v>
      </c>
      <c r="D70" s="1030">
        <v>0</v>
      </c>
      <c r="E70" s="2024">
        <v>0</v>
      </c>
      <c r="F70" s="2602">
        <v>0</v>
      </c>
      <c r="G70" s="2027">
        <v>0</v>
      </c>
      <c r="H70" s="2606">
        <v>0</v>
      </c>
      <c r="I70" s="2602">
        <v>0</v>
      </c>
      <c r="J70" s="2027">
        <v>0</v>
      </c>
      <c r="K70" s="2605">
        <v>0</v>
      </c>
      <c r="L70" s="338"/>
    </row>
    <row r="71" spans="1:12" ht="11.25" customHeight="1" x14ac:dyDescent="0.25">
      <c r="A71" s="2560"/>
      <c r="B71" s="318"/>
      <c r="C71" s="1030">
        <v>0</v>
      </c>
      <c r="D71" s="1030">
        <v>0</v>
      </c>
      <c r="E71" s="2024">
        <v>0</v>
      </c>
      <c r="F71" s="2608">
        <v>0</v>
      </c>
      <c r="G71" s="2217">
        <v>0</v>
      </c>
      <c r="H71" s="2609">
        <v>0</v>
      </c>
      <c r="I71" s="2608">
        <v>0</v>
      </c>
      <c r="J71" s="2217">
        <v>0</v>
      </c>
      <c r="K71" s="2607">
        <v>0</v>
      </c>
      <c r="L71" s="338"/>
    </row>
    <row r="72" spans="1:12" ht="5.0999999999999996" customHeight="1" x14ac:dyDescent="0.25">
      <c r="A72" s="658"/>
      <c r="B72" s="318"/>
      <c r="C72" s="205"/>
      <c r="D72" s="205"/>
      <c r="E72" s="256"/>
      <c r="F72" s="246"/>
      <c r="G72" s="205"/>
      <c r="H72" s="208"/>
      <c r="I72" s="246"/>
      <c r="J72" s="205"/>
      <c r="K72" s="256"/>
      <c r="L72" s="338"/>
    </row>
    <row r="73" spans="1:12" ht="17.25" customHeight="1" x14ac:dyDescent="0.25">
      <c r="A73" s="651" t="s">
        <v>884</v>
      </c>
      <c r="B73" s="318"/>
      <c r="C73" s="205">
        <v>0</v>
      </c>
      <c r="D73" s="205">
        <v>0</v>
      </c>
      <c r="E73" s="256">
        <v>0</v>
      </c>
      <c r="F73" s="246">
        <v>0</v>
      </c>
      <c r="G73" s="205">
        <v>0</v>
      </c>
      <c r="H73" s="208">
        <v>0</v>
      </c>
      <c r="I73" s="246">
        <v>0</v>
      </c>
      <c r="J73" s="205">
        <v>0</v>
      </c>
      <c r="K73" s="256">
        <v>0</v>
      </c>
      <c r="L73" s="338"/>
    </row>
    <row r="74" spans="1:12" ht="11.25" customHeight="1" x14ac:dyDescent="0.25">
      <c r="A74" s="249" t="s">
        <v>975</v>
      </c>
      <c r="B74" s="318"/>
      <c r="C74" s="1030">
        <v>0</v>
      </c>
      <c r="D74" s="1030">
        <v>0</v>
      </c>
      <c r="E74" s="2024">
        <v>0</v>
      </c>
      <c r="F74" s="2602">
        <v>0</v>
      </c>
      <c r="G74" s="2027">
        <v>0</v>
      </c>
      <c r="H74" s="2606">
        <v>0</v>
      </c>
      <c r="I74" s="2602">
        <v>0</v>
      </c>
      <c r="J74" s="2027">
        <v>0</v>
      </c>
      <c r="K74" s="2605">
        <v>0</v>
      </c>
      <c r="L74" s="338"/>
    </row>
    <row r="75" spans="1:12" ht="11.25" customHeight="1" x14ac:dyDescent="0.25">
      <c r="A75" s="2477" t="s">
        <v>617</v>
      </c>
      <c r="B75" s="318"/>
      <c r="C75" s="1030">
        <v>0</v>
      </c>
      <c r="D75" s="1030">
        <v>0</v>
      </c>
      <c r="E75" s="2024">
        <v>0</v>
      </c>
      <c r="F75" s="2608">
        <v>0</v>
      </c>
      <c r="G75" s="2217">
        <v>0</v>
      </c>
      <c r="H75" s="2609">
        <v>0</v>
      </c>
      <c r="I75" s="2608">
        <v>0</v>
      </c>
      <c r="J75" s="2217">
        <v>0</v>
      </c>
      <c r="K75" s="2607">
        <v>0</v>
      </c>
      <c r="L75" s="338"/>
    </row>
    <row r="76" spans="1:12" ht="5.0999999999999996" customHeight="1" x14ac:dyDescent="0.25">
      <c r="A76" s="658"/>
      <c r="B76" s="318"/>
      <c r="C76" s="357"/>
      <c r="D76" s="357"/>
      <c r="E76" s="313"/>
      <c r="F76" s="358"/>
      <c r="G76" s="357"/>
      <c r="H76" s="359"/>
      <c r="I76" s="358"/>
      <c r="J76" s="357"/>
      <c r="K76" s="313"/>
      <c r="L76" s="338"/>
    </row>
    <row r="77" spans="1:12" x14ac:dyDescent="0.25">
      <c r="A77" s="659" t="s">
        <v>1232</v>
      </c>
      <c r="B77" s="2616">
        <v>1</v>
      </c>
      <c r="C77" s="224">
        <v>1133566.1700000002</v>
      </c>
      <c r="D77" s="224">
        <v>1553123.54</v>
      </c>
      <c r="E77" s="320">
        <v>2154289.13</v>
      </c>
      <c r="F77" s="321">
        <v>0</v>
      </c>
      <c r="G77" s="224">
        <v>5571750</v>
      </c>
      <c r="H77" s="223">
        <v>5571750</v>
      </c>
      <c r="I77" s="321">
        <v>5026250</v>
      </c>
      <c r="J77" s="224">
        <v>5327825</v>
      </c>
      <c r="K77" s="320">
        <v>5647494.5</v>
      </c>
      <c r="L77" s="338"/>
    </row>
    <row r="78" spans="1:12" x14ac:dyDescent="0.25">
      <c r="A78" s="2623"/>
      <c r="B78" s="2624"/>
      <c r="C78" s="2149"/>
      <c r="D78" s="2149"/>
      <c r="E78" s="2149"/>
      <c r="F78" s="2149"/>
      <c r="G78" s="2149"/>
      <c r="H78" s="2149"/>
      <c r="I78" s="2149"/>
      <c r="J78" s="2149"/>
      <c r="K78" s="2149"/>
      <c r="L78" s="338"/>
    </row>
    <row r="79" spans="1:12" x14ac:dyDescent="0.25">
      <c r="A79" s="2617" t="s">
        <v>32</v>
      </c>
      <c r="B79" s="2625"/>
      <c r="C79" s="2159">
        <v>0</v>
      </c>
      <c r="D79" s="2156">
        <v>0</v>
      </c>
      <c r="E79" s="2619">
        <v>0</v>
      </c>
      <c r="F79" s="2159">
        <v>0</v>
      </c>
      <c r="G79" s="2156">
        <v>0</v>
      </c>
      <c r="H79" s="2619">
        <v>0</v>
      </c>
      <c r="I79" s="2159">
        <v>0</v>
      </c>
      <c r="J79" s="2156">
        <v>0</v>
      </c>
      <c r="K79" s="2619">
        <v>0</v>
      </c>
      <c r="L79" s="338"/>
    </row>
    <row r="80" spans="1:12" x14ac:dyDescent="0.25">
      <c r="A80" s="302" t="s">
        <v>1295</v>
      </c>
      <c r="B80" s="2626"/>
      <c r="C80" s="1031">
        <v>0</v>
      </c>
      <c r="D80" s="1030">
        <v>0</v>
      </c>
      <c r="E80" s="2025">
        <v>0</v>
      </c>
      <c r="F80" s="1031">
        <v>0</v>
      </c>
      <c r="G80" s="1030">
        <v>0</v>
      </c>
      <c r="H80" s="2025">
        <v>0</v>
      </c>
      <c r="I80" s="1031">
        <v>0</v>
      </c>
      <c r="J80" s="1030">
        <v>0</v>
      </c>
      <c r="K80" s="2025">
        <v>0</v>
      </c>
      <c r="L80" s="338"/>
    </row>
    <row r="81" spans="1:12" x14ac:dyDescent="0.25">
      <c r="A81" s="302" t="s">
        <v>1530</v>
      </c>
      <c r="B81" s="2626"/>
      <c r="C81" s="1031">
        <v>0</v>
      </c>
      <c r="D81" s="1030">
        <v>0</v>
      </c>
      <c r="E81" s="2025">
        <v>0</v>
      </c>
      <c r="F81" s="1031">
        <v>0</v>
      </c>
      <c r="G81" s="1030">
        <v>0</v>
      </c>
      <c r="H81" s="2025">
        <v>0</v>
      </c>
      <c r="I81" s="1031">
        <v>0</v>
      </c>
      <c r="J81" s="1030">
        <v>0</v>
      </c>
      <c r="K81" s="2025">
        <v>0</v>
      </c>
      <c r="L81" s="338"/>
    </row>
    <row r="82" spans="1:12" x14ac:dyDescent="0.25">
      <c r="A82" s="302" t="s">
        <v>1727</v>
      </c>
      <c r="B82" s="2626"/>
      <c r="C82" s="1031">
        <v>0</v>
      </c>
      <c r="D82" s="1030">
        <v>0</v>
      </c>
      <c r="E82" s="2025">
        <v>0</v>
      </c>
      <c r="F82" s="1031">
        <v>0</v>
      </c>
      <c r="G82" s="1030">
        <v>0</v>
      </c>
      <c r="H82" s="2025">
        <v>0</v>
      </c>
      <c r="I82" s="1031">
        <v>0</v>
      </c>
      <c r="J82" s="1030">
        <v>0</v>
      </c>
      <c r="K82" s="2025">
        <v>0</v>
      </c>
      <c r="L82" s="338"/>
    </row>
    <row r="83" spans="1:12" x14ac:dyDescent="0.25">
      <c r="A83" s="2620" t="s">
        <v>1728</v>
      </c>
      <c r="B83" s="2627"/>
      <c r="C83" s="2236">
        <v>0</v>
      </c>
      <c r="D83" s="2232">
        <v>0</v>
      </c>
      <c r="E83" s="2621">
        <v>0</v>
      </c>
      <c r="F83" s="2236">
        <v>0</v>
      </c>
      <c r="G83" s="2232">
        <v>0</v>
      </c>
      <c r="H83" s="2621">
        <v>0</v>
      </c>
      <c r="I83" s="2236">
        <v>0</v>
      </c>
      <c r="J83" s="2232">
        <v>0</v>
      </c>
      <c r="K83" s="2621">
        <v>0</v>
      </c>
      <c r="L83" s="338"/>
    </row>
    <row r="84" spans="1:12" s="328" customFormat="1" ht="4.5" customHeight="1" x14ac:dyDescent="0.25">
      <c r="A84" s="302"/>
      <c r="B84" s="388"/>
      <c r="C84" s="1067"/>
      <c r="D84" s="1067"/>
      <c r="E84" s="1067"/>
      <c r="F84" s="1067"/>
      <c r="G84" s="1067"/>
      <c r="H84" s="1067"/>
      <c r="I84" s="1067"/>
      <c r="J84" s="1067"/>
      <c r="K84" s="1067"/>
    </row>
    <row r="85" spans="1:12" x14ac:dyDescent="0.25">
      <c r="A85" s="2628" t="s">
        <v>931</v>
      </c>
      <c r="B85" s="763"/>
      <c r="C85" s="1910">
        <v>1.0999999999999999E-2</v>
      </c>
      <c r="D85" s="1910">
        <v>1.2999999999999999E-2</v>
      </c>
      <c r="E85" s="1911">
        <v>1.7999999999999999E-2</v>
      </c>
      <c r="F85" s="1912">
        <v>0</v>
      </c>
      <c r="G85" s="1910">
        <v>4.5999999999999999E-2</v>
      </c>
      <c r="H85" s="1913">
        <v>4.5999999999999999E-2</v>
      </c>
      <c r="I85" s="1914">
        <v>3.9E-2</v>
      </c>
      <c r="J85" s="1910">
        <v>3.9E-2</v>
      </c>
      <c r="K85" s="1911">
        <v>3.9E-2</v>
      </c>
      <c r="L85" s="338"/>
    </row>
    <row r="86" spans="1:12" x14ac:dyDescent="0.25">
      <c r="A86" s="2629" t="s">
        <v>2084</v>
      </c>
      <c r="B86" s="2630"/>
      <c r="C86" s="1900">
        <v>2.1999999999999999E-2</v>
      </c>
      <c r="D86" s="1900">
        <v>2.5999999999999999E-2</v>
      </c>
      <c r="E86" s="1901">
        <v>3.3000000000000002E-2</v>
      </c>
      <c r="F86" s="1902">
        <v>0</v>
      </c>
      <c r="G86" s="1900">
        <v>6.7000000000000004E-2</v>
      </c>
      <c r="H86" s="1903">
        <v>6.7000000000000004E-2</v>
      </c>
      <c r="I86" s="1904">
        <v>5.8000000000000003E-2</v>
      </c>
      <c r="J86" s="1900">
        <v>0.06</v>
      </c>
      <c r="K86" s="1901">
        <v>0.06</v>
      </c>
      <c r="L86" s="338"/>
    </row>
    <row r="87" spans="1:12" s="625" customFormat="1" x14ac:dyDescent="0.25">
      <c r="A87" s="1787" t="s">
        <v>986</v>
      </c>
      <c r="B87" s="1927"/>
      <c r="C87" s="839"/>
      <c r="D87" s="839"/>
      <c r="E87" s="839"/>
      <c r="F87" s="839"/>
      <c r="G87" s="839"/>
      <c r="H87" s="839"/>
      <c r="I87" s="839"/>
      <c r="J87" s="839"/>
      <c r="K87" s="839"/>
      <c r="L87" s="1271"/>
    </row>
    <row r="88" spans="1:12" s="625" customFormat="1" ht="11.25" customHeight="1" x14ac:dyDescent="0.25">
      <c r="A88" s="1235" t="s">
        <v>1233</v>
      </c>
      <c r="B88" s="1927"/>
      <c r="C88" s="2083"/>
      <c r="D88" s="2083"/>
      <c r="E88" s="839"/>
      <c r="F88" s="839"/>
      <c r="G88" s="839"/>
      <c r="H88" s="839"/>
      <c r="I88" s="839"/>
      <c r="J88" s="839"/>
      <c r="K88" s="839"/>
    </row>
    <row r="89" spans="1:12" s="625" customFormat="1" ht="11.25" customHeight="1" x14ac:dyDescent="0.25">
      <c r="A89" s="1235" t="s">
        <v>320</v>
      </c>
      <c r="B89" s="1927"/>
      <c r="C89" s="2083"/>
      <c r="D89" s="2083"/>
      <c r="E89" s="839"/>
      <c r="F89" s="839"/>
      <c r="G89" s="839"/>
      <c r="H89" s="839"/>
      <c r="I89" s="839"/>
      <c r="J89" s="839"/>
      <c r="K89" s="839"/>
    </row>
    <row r="90" spans="1:12" s="625" customFormat="1" ht="11.25" customHeight="1" x14ac:dyDescent="0.25">
      <c r="A90" s="1235" t="s">
        <v>917</v>
      </c>
      <c r="B90" s="1927"/>
      <c r="C90" s="2083"/>
      <c r="D90" s="2083"/>
      <c r="E90" s="839"/>
      <c r="F90" s="839"/>
      <c r="G90" s="839"/>
      <c r="H90" s="839"/>
      <c r="I90" s="839"/>
      <c r="J90" s="839"/>
      <c r="K90" s="839"/>
    </row>
    <row r="91" spans="1:12" s="625" customFormat="1" ht="11.25" customHeight="1" x14ac:dyDescent="0.25">
      <c r="A91" s="1235" t="s">
        <v>324</v>
      </c>
      <c r="B91" s="1927"/>
      <c r="C91" s="2083"/>
      <c r="D91" s="2083"/>
      <c r="E91" s="839"/>
      <c r="F91" s="839"/>
      <c r="G91" s="839"/>
      <c r="H91" s="839"/>
      <c r="I91" s="839"/>
      <c r="J91" s="839"/>
      <c r="K91" s="839"/>
    </row>
    <row r="92" spans="1:12" s="625" customFormat="1" ht="11.25" customHeight="1" x14ac:dyDescent="0.25">
      <c r="A92" s="1235" t="s">
        <v>133</v>
      </c>
      <c r="B92" s="1927"/>
      <c r="C92" s="2083"/>
      <c r="D92" s="2083"/>
      <c r="E92" s="839"/>
      <c r="F92" s="839"/>
      <c r="G92" s="839"/>
      <c r="H92" s="839"/>
      <c r="I92" s="839"/>
      <c r="J92" s="839"/>
      <c r="K92" s="839"/>
    </row>
    <row r="93" spans="1:12" s="625" customFormat="1" ht="11.25" customHeight="1" x14ac:dyDescent="0.25">
      <c r="A93" s="1235" t="s">
        <v>1668</v>
      </c>
      <c r="B93" s="1927"/>
      <c r="C93" s="2083"/>
      <c r="D93" s="2083"/>
      <c r="E93" s="839"/>
      <c r="F93" s="839"/>
      <c r="G93" s="839"/>
      <c r="H93" s="839"/>
      <c r="I93" s="839"/>
      <c r="J93" s="839"/>
      <c r="K93" s="839"/>
    </row>
    <row r="94" spans="1:12" s="625" customFormat="1" ht="11.25" customHeight="1" x14ac:dyDescent="0.25">
      <c r="A94" s="1235" t="s">
        <v>33</v>
      </c>
      <c r="B94" s="1927"/>
      <c r="C94" s="2083"/>
      <c r="D94" s="2083"/>
      <c r="E94" s="839"/>
      <c r="F94" s="839"/>
      <c r="G94" s="839"/>
      <c r="H94" s="839"/>
      <c r="I94" s="839"/>
      <c r="J94" s="839"/>
      <c r="K94" s="839"/>
    </row>
    <row r="95" spans="1:12" s="625" customFormat="1" ht="11.25" customHeight="1" x14ac:dyDescent="0.25">
      <c r="A95" s="1235" t="s">
        <v>1340</v>
      </c>
      <c r="B95" s="1927"/>
      <c r="C95" s="2083"/>
      <c r="D95" s="2083"/>
      <c r="E95" s="839"/>
      <c r="F95" s="839"/>
      <c r="G95" s="839"/>
      <c r="H95" s="839"/>
      <c r="I95" s="839"/>
      <c r="J95" s="839"/>
      <c r="K95" s="839"/>
    </row>
    <row r="96" spans="1:12" s="625" customFormat="1" ht="11.25" customHeight="1" x14ac:dyDescent="0.25">
      <c r="A96" s="1235" t="s">
        <v>1341</v>
      </c>
      <c r="B96" s="1927"/>
      <c r="C96" s="2083"/>
      <c r="D96" s="2083"/>
      <c r="E96" s="839"/>
      <c r="F96" s="839"/>
      <c r="G96" s="839"/>
      <c r="H96" s="839"/>
      <c r="I96" s="839"/>
      <c r="J96" s="839"/>
      <c r="K96" s="839"/>
    </row>
    <row r="97" spans="1:11" s="625" customFormat="1" ht="11.25" customHeight="1" x14ac:dyDescent="0.25">
      <c r="A97" s="1235" t="s">
        <v>389</v>
      </c>
      <c r="B97" s="1927"/>
      <c r="C97" s="2083"/>
      <c r="D97" s="2083"/>
      <c r="E97" s="839"/>
      <c r="F97" s="839"/>
      <c r="G97" s="839"/>
      <c r="H97" s="839"/>
      <c r="I97" s="839"/>
      <c r="J97" s="839"/>
      <c r="K97" s="839"/>
    </row>
    <row r="98" spans="1:11" s="625" customFormat="1" ht="11.25" customHeight="1" x14ac:dyDescent="0.25">
      <c r="A98" s="2622"/>
      <c r="B98" s="1927"/>
      <c r="C98" s="2083"/>
      <c r="D98" s="2083"/>
      <c r="E98" s="839"/>
      <c r="F98" s="839"/>
      <c r="G98" s="839"/>
      <c r="H98" s="839"/>
      <c r="I98" s="839"/>
      <c r="J98" s="839"/>
      <c r="K98" s="839"/>
    </row>
    <row r="99" spans="1:11" ht="11.25" customHeight="1" x14ac:dyDescent="0.25">
      <c r="A99" s="328"/>
      <c r="B99" s="388"/>
      <c r="C99" s="233"/>
      <c r="D99" s="233"/>
      <c r="E99" s="234"/>
      <c r="F99" s="234"/>
      <c r="G99" s="234"/>
      <c r="H99" s="234"/>
      <c r="I99" s="234"/>
      <c r="J99" s="234"/>
      <c r="K99" s="234"/>
    </row>
    <row r="100" spans="1:11" ht="11.25" customHeight="1" x14ac:dyDescent="0.25">
      <c r="A100" s="2047" t="s">
        <v>296</v>
      </c>
      <c r="B100" s="2048"/>
      <c r="C100" s="253">
        <v>0</v>
      </c>
      <c r="D100" s="253">
        <v>0</v>
      </c>
      <c r="E100" s="253">
        <v>0</v>
      </c>
      <c r="F100" s="253">
        <v>-5725750</v>
      </c>
      <c r="G100" s="253">
        <v>0</v>
      </c>
      <c r="H100" s="253">
        <v>0</v>
      </c>
      <c r="I100" s="253">
        <v>0</v>
      </c>
      <c r="J100" s="253">
        <v>0</v>
      </c>
      <c r="K100" s="253">
        <v>0</v>
      </c>
    </row>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sheetData>
  <mergeCells count="2">
    <mergeCell ref="F2:H2"/>
    <mergeCell ref="I2:K2"/>
  </mergeCells>
  <phoneticPr fontId="4" type="noConversion"/>
  <pageMargins left="0.75" right="0.75" top="1" bottom="1" header="0.5" footer="0.5"/>
  <pageSetup scale="56"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indexed="42"/>
    <pageSetUpPr fitToPage="1"/>
  </sheetPr>
  <dimension ref="A1:T132"/>
  <sheetViews>
    <sheetView showGridLines="0" tabSelected="1" workbookViewId="0">
      <pane xSplit="2" ySplit="3" topLeftCell="C61"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338" customWidth="1"/>
    <col min="2" max="2" width="3" style="1928" customWidth="1"/>
    <col min="3" max="11" width="9.28515625" style="338" customWidth="1"/>
    <col min="12" max="12" width="9.7109375" style="148" customWidth="1"/>
    <col min="13" max="13" width="9.5703125" style="148" customWidth="1"/>
    <col min="14" max="14" width="9.85546875" style="148" customWidth="1"/>
    <col min="15" max="17" width="9.5703125" style="148" customWidth="1"/>
    <col min="18" max="18" width="9.85546875" style="148" customWidth="1"/>
    <col min="19" max="21" width="9.5703125" style="148" customWidth="1"/>
    <col min="22" max="23" width="9.85546875" style="148" customWidth="1"/>
    <col min="24" max="16384" width="9.140625" style="148"/>
  </cols>
  <sheetData>
    <row r="1" spans="1:20" ht="13.5" customHeight="1" x14ac:dyDescent="0.25">
      <c r="A1" s="1997" t="s">
        <v>2560</v>
      </c>
      <c r="B1" s="1997"/>
      <c r="C1" s="1997"/>
      <c r="D1" s="1997"/>
      <c r="E1" s="1997"/>
      <c r="F1" s="1997"/>
      <c r="G1" s="1997"/>
      <c r="H1" s="1997"/>
      <c r="I1" s="1997"/>
      <c r="J1" s="1997"/>
      <c r="K1" s="1997"/>
    </row>
    <row r="2" spans="1:20" ht="28.5" customHeight="1" x14ac:dyDescent="0.25">
      <c r="A2" s="786" t="s">
        <v>775</v>
      </c>
      <c r="B2" s="379" t="s">
        <v>429</v>
      </c>
      <c r="C2" s="149" t="s">
        <v>2478</v>
      </c>
      <c r="D2" s="634" t="s">
        <v>2479</v>
      </c>
      <c r="E2" s="1996" t="s">
        <v>2480</v>
      </c>
      <c r="F2" s="2700" t="s">
        <v>2481</v>
      </c>
      <c r="G2" s="2701"/>
      <c r="H2" s="2701"/>
      <c r="I2" s="2697" t="s">
        <v>2482</v>
      </c>
      <c r="J2" s="2698"/>
      <c r="K2" s="2699"/>
    </row>
    <row r="3" spans="1:20" ht="25.5" x14ac:dyDescent="0.25">
      <c r="A3" s="179" t="s">
        <v>667</v>
      </c>
      <c r="B3" s="2003">
        <v>1</v>
      </c>
      <c r="C3" s="2009" t="s">
        <v>1065</v>
      </c>
      <c r="D3" s="2016" t="s">
        <v>1065</v>
      </c>
      <c r="E3" s="354" t="s">
        <v>1065</v>
      </c>
      <c r="F3" s="2004" t="s">
        <v>467</v>
      </c>
      <c r="G3" s="2009" t="s">
        <v>1807</v>
      </c>
      <c r="H3" s="2018" t="s">
        <v>1808</v>
      </c>
      <c r="I3" s="2004" t="s">
        <v>2483</v>
      </c>
      <c r="J3" s="2009" t="s">
        <v>2484</v>
      </c>
      <c r="K3" s="354" t="s">
        <v>2485</v>
      </c>
    </row>
    <row r="4" spans="1:20" ht="11.25" customHeight="1" x14ac:dyDescent="0.25">
      <c r="A4" s="2603" t="s">
        <v>2056</v>
      </c>
      <c r="B4" s="760"/>
      <c r="C4" s="2604"/>
      <c r="D4" s="749"/>
      <c r="E4" s="774"/>
      <c r="F4" s="773"/>
      <c r="G4" s="749"/>
      <c r="H4" s="750"/>
      <c r="I4" s="773"/>
      <c r="J4" s="749"/>
      <c r="K4" s="774"/>
      <c r="L4" s="338"/>
    </row>
    <row r="5" spans="1:20" ht="5.0999999999999996" customHeight="1" x14ac:dyDescent="0.25">
      <c r="A5" s="651"/>
      <c r="B5" s="318"/>
      <c r="C5" s="776"/>
      <c r="D5" s="776"/>
      <c r="E5" s="779"/>
      <c r="F5" s="778"/>
      <c r="G5" s="776"/>
      <c r="H5" s="2106"/>
      <c r="I5" s="778"/>
      <c r="J5" s="776"/>
      <c r="K5" s="779"/>
      <c r="L5" s="338"/>
    </row>
    <row r="6" spans="1:20" ht="11.25" customHeight="1" x14ac:dyDescent="0.25">
      <c r="A6" s="651" t="s">
        <v>979</v>
      </c>
      <c r="B6" s="318"/>
      <c r="C6" s="357">
        <v>3561111.9585996843</v>
      </c>
      <c r="D6" s="357">
        <v>4682876.4683196768</v>
      </c>
      <c r="E6" s="313">
        <v>4727523.9546750039</v>
      </c>
      <c r="F6" s="358">
        <v>8404872.6586671788</v>
      </c>
      <c r="G6" s="357">
        <v>8404872.6586671788</v>
      </c>
      <c r="H6" s="359">
        <v>8404872.6586671788</v>
      </c>
      <c r="I6" s="358">
        <v>5079276.8847679459</v>
      </c>
      <c r="J6" s="357">
        <v>5385473.3793499609</v>
      </c>
      <c r="K6" s="313">
        <v>5702359.1570000481</v>
      </c>
      <c r="L6" s="1269"/>
    </row>
    <row r="7" spans="1:20" s="1248" customFormat="1" ht="13.5" x14ac:dyDescent="0.25">
      <c r="A7" s="249" t="s">
        <v>537</v>
      </c>
      <c r="B7" s="318"/>
      <c r="C7" s="884">
        <v>456084.11936204019</v>
      </c>
      <c r="D7" s="884">
        <v>2408629.84</v>
      </c>
      <c r="E7" s="1144">
        <v>2451204.4597341665</v>
      </c>
      <c r="F7" s="885">
        <v>4358594.6889229016</v>
      </c>
      <c r="G7" s="884">
        <v>4358594.6889229016</v>
      </c>
      <c r="H7" s="920">
        <v>4358594.6889229016</v>
      </c>
      <c r="I7" s="1145">
        <v>2634008.884202309</v>
      </c>
      <c r="J7" s="884">
        <v>2792796.1102854721</v>
      </c>
      <c r="K7" s="920">
        <v>2957126.5794730796</v>
      </c>
      <c r="L7" s="338"/>
      <c r="M7" s="855">
        <v>5357533</v>
      </c>
      <c r="N7" s="855">
        <v>5357533</v>
      </c>
      <c r="O7" s="855">
        <v>5357533</v>
      </c>
      <c r="P7" s="855">
        <v>5723968.540000001</v>
      </c>
      <c r="Q7" s="855">
        <v>6067370.652400001</v>
      </c>
      <c r="R7" s="855">
        <v>6431376.8915440002</v>
      </c>
      <c r="T7" s="855"/>
    </row>
    <row r="8" spans="1:20" s="1248" customFormat="1" ht="13.5" x14ac:dyDescent="0.25">
      <c r="A8" s="1191" t="s">
        <v>538</v>
      </c>
      <c r="B8" s="318"/>
      <c r="C8" s="1030">
        <v>456084.11936204019</v>
      </c>
      <c r="D8" s="1030">
        <v>2408629.84</v>
      </c>
      <c r="E8" s="1065">
        <v>2451204.4597341665</v>
      </c>
      <c r="F8" s="1066">
        <v>4358594.6889229016</v>
      </c>
      <c r="G8" s="1030">
        <v>4358594.6889229016</v>
      </c>
      <c r="H8" s="1067">
        <v>4358594.6889229016</v>
      </c>
      <c r="I8" s="1066">
        <v>2634008.884202309</v>
      </c>
      <c r="J8" s="1030">
        <v>2792796.1102854721</v>
      </c>
      <c r="K8" s="1065">
        <v>2957126.5794730796</v>
      </c>
      <c r="L8" s="1269"/>
      <c r="M8" s="1987">
        <v>9426140</v>
      </c>
      <c r="N8" s="1987">
        <v>9426140</v>
      </c>
      <c r="O8" s="1987">
        <v>9426140</v>
      </c>
      <c r="P8" s="1987">
        <v>5696454.540000001</v>
      </c>
      <c r="Q8" s="1987">
        <v>6039856.652400001</v>
      </c>
      <c r="R8" s="1987">
        <v>6395246.8915440002</v>
      </c>
    </row>
    <row r="9" spans="1:20" s="1248" customFormat="1" ht="13.5" x14ac:dyDescent="0.25">
      <c r="A9" s="1191" t="s">
        <v>539</v>
      </c>
      <c r="B9" s="318"/>
      <c r="C9" s="1030">
        <v>0</v>
      </c>
      <c r="D9" s="1030">
        <v>0</v>
      </c>
      <c r="E9" s="1065">
        <v>0</v>
      </c>
      <c r="F9" s="1066">
        <v>0</v>
      </c>
      <c r="G9" s="1030">
        <v>0</v>
      </c>
      <c r="H9" s="1067">
        <v>0</v>
      </c>
      <c r="I9" s="1066">
        <v>0</v>
      </c>
      <c r="J9" s="1030">
        <v>0</v>
      </c>
      <c r="K9" s="1065">
        <v>0</v>
      </c>
      <c r="L9" s="1270"/>
      <c r="M9" s="1987">
        <v>5301111.4946750039</v>
      </c>
      <c r="N9" s="1987">
        <v>5301111.4946750039</v>
      </c>
      <c r="O9" s="1987">
        <v>5301111.4946750039</v>
      </c>
      <c r="P9" s="1987">
        <v>5301111.4946750039</v>
      </c>
      <c r="Q9" s="1987">
        <v>5301111.4946750039</v>
      </c>
      <c r="R9" s="1987">
        <v>5301111.4946750039</v>
      </c>
    </row>
    <row r="10" spans="1:20" s="1248" customFormat="1" ht="13.5" x14ac:dyDescent="0.25">
      <c r="A10" s="249" t="s">
        <v>21</v>
      </c>
      <c r="B10" s="318"/>
      <c r="C10" s="852">
        <v>462101.34723654471</v>
      </c>
      <c r="D10" s="852">
        <v>590409.47917808208</v>
      </c>
      <c r="E10" s="1146">
        <v>591779.53654557897</v>
      </c>
      <c r="F10" s="856">
        <v>1052269.277153871</v>
      </c>
      <c r="G10" s="852">
        <v>1052269.277153871</v>
      </c>
      <c r="H10" s="923">
        <v>1052269.277153871</v>
      </c>
      <c r="I10" s="1147">
        <v>635912.90826846287</v>
      </c>
      <c r="J10" s="852">
        <v>674247.95236798399</v>
      </c>
      <c r="K10" s="923">
        <v>713921.26828007505</v>
      </c>
      <c r="L10" s="1270"/>
    </row>
    <row r="11" spans="1:20" s="1248" customFormat="1" ht="13.5" x14ac:dyDescent="0.25">
      <c r="A11" s="1191" t="s">
        <v>22</v>
      </c>
      <c r="B11" s="318"/>
      <c r="C11" s="1030">
        <v>0</v>
      </c>
      <c r="D11" s="1030">
        <v>0</v>
      </c>
      <c r="E11" s="2024">
        <v>0</v>
      </c>
      <c r="F11" s="1066">
        <v>0</v>
      </c>
      <c r="G11" s="1030">
        <v>0</v>
      </c>
      <c r="H11" s="1067">
        <v>0</v>
      </c>
      <c r="I11" s="1066">
        <v>0</v>
      </c>
      <c r="J11" s="1030">
        <v>0</v>
      </c>
      <c r="K11" s="1065">
        <v>0</v>
      </c>
      <c r="L11" s="1270"/>
    </row>
    <row r="12" spans="1:20" s="1248" customFormat="1" ht="13.5" x14ac:dyDescent="0.25">
      <c r="A12" s="1191" t="s">
        <v>23</v>
      </c>
      <c r="B12" s="318"/>
      <c r="C12" s="1030">
        <v>462101.34723654471</v>
      </c>
      <c r="D12" s="1030">
        <v>590409.47917808208</v>
      </c>
      <c r="E12" s="2024">
        <v>591779.53654557897</v>
      </c>
      <c r="F12" s="1066">
        <v>1052269.277153871</v>
      </c>
      <c r="G12" s="1030">
        <v>1052269.277153871</v>
      </c>
      <c r="H12" s="1067">
        <v>1052269.277153871</v>
      </c>
      <c r="I12" s="1066">
        <v>635912.90826846287</v>
      </c>
      <c r="J12" s="1030">
        <v>674247.95236798399</v>
      </c>
      <c r="K12" s="1065">
        <v>713921.26828007505</v>
      </c>
      <c r="L12" s="1270"/>
    </row>
    <row r="13" spans="1:20" s="1248" customFormat="1" ht="13.5" x14ac:dyDescent="0.25">
      <c r="A13" s="1191" t="s">
        <v>137</v>
      </c>
      <c r="B13" s="318"/>
      <c r="C13" s="1030">
        <v>0</v>
      </c>
      <c r="D13" s="1030">
        <v>0</v>
      </c>
      <c r="E13" s="2024">
        <v>0</v>
      </c>
      <c r="F13" s="1066">
        <v>0</v>
      </c>
      <c r="G13" s="1030">
        <v>0</v>
      </c>
      <c r="H13" s="1067">
        <v>0</v>
      </c>
      <c r="I13" s="1066">
        <v>0</v>
      </c>
      <c r="J13" s="1030">
        <v>0</v>
      </c>
      <c r="K13" s="1065">
        <v>0</v>
      </c>
      <c r="L13" s="1270"/>
    </row>
    <row r="14" spans="1:20" s="1248" customFormat="1" ht="13.5" x14ac:dyDescent="0.25">
      <c r="A14" s="249" t="s">
        <v>24</v>
      </c>
      <c r="B14" s="318"/>
      <c r="C14" s="852">
        <v>1454015.5895011819</v>
      </c>
      <c r="D14" s="852">
        <v>872889.36266351189</v>
      </c>
      <c r="E14" s="1146">
        <v>873349.1731678138</v>
      </c>
      <c r="F14" s="856">
        <v>1552940.6584701077</v>
      </c>
      <c r="G14" s="852">
        <v>1552940.6584701077</v>
      </c>
      <c r="H14" s="923">
        <v>1552940.6584701077</v>
      </c>
      <c r="I14" s="1147">
        <v>938481.27274713037</v>
      </c>
      <c r="J14" s="852">
        <v>995056.19127692957</v>
      </c>
      <c r="K14" s="923">
        <v>1053606.1334579424</v>
      </c>
      <c r="L14" s="1270"/>
    </row>
    <row r="15" spans="1:20" s="1248" customFormat="1" ht="13.5" x14ac:dyDescent="0.25">
      <c r="A15" s="1191" t="s">
        <v>25</v>
      </c>
      <c r="B15" s="318"/>
      <c r="C15" s="1030">
        <v>0</v>
      </c>
      <c r="D15" s="1030">
        <v>0</v>
      </c>
      <c r="E15" s="2024">
        <v>0</v>
      </c>
      <c r="F15" s="1066">
        <v>0</v>
      </c>
      <c r="G15" s="1030">
        <v>0</v>
      </c>
      <c r="H15" s="1067">
        <v>0</v>
      </c>
      <c r="I15" s="1066">
        <v>0</v>
      </c>
      <c r="J15" s="1030">
        <v>0</v>
      </c>
      <c r="K15" s="1065">
        <v>0</v>
      </c>
      <c r="L15" s="1270"/>
    </row>
    <row r="16" spans="1:20" s="1248" customFormat="1" ht="13.5" x14ac:dyDescent="0.25">
      <c r="A16" s="1191" t="s">
        <v>26</v>
      </c>
      <c r="B16" s="318"/>
      <c r="C16" s="1030">
        <v>0</v>
      </c>
      <c r="D16" s="1030">
        <v>0</v>
      </c>
      <c r="E16" s="2024">
        <v>0</v>
      </c>
      <c r="F16" s="1066">
        <v>0</v>
      </c>
      <c r="G16" s="1030">
        <v>0</v>
      </c>
      <c r="H16" s="1067">
        <v>0</v>
      </c>
      <c r="I16" s="1066">
        <v>0</v>
      </c>
      <c r="J16" s="1030">
        <v>0</v>
      </c>
      <c r="K16" s="1065">
        <v>0</v>
      </c>
      <c r="L16" s="1270"/>
    </row>
    <row r="17" spans="1:12" s="1248" customFormat="1" ht="13.5" x14ac:dyDescent="0.25">
      <c r="A17" s="1191" t="s">
        <v>27</v>
      </c>
      <c r="B17" s="318"/>
      <c r="C17" s="1030">
        <v>1454015.5895011819</v>
      </c>
      <c r="D17" s="1030">
        <v>872889.36266351189</v>
      </c>
      <c r="E17" s="2024">
        <v>873349.1731678138</v>
      </c>
      <c r="F17" s="1066">
        <v>1552940.6584701077</v>
      </c>
      <c r="G17" s="1030">
        <v>1552940.6584701077</v>
      </c>
      <c r="H17" s="1067">
        <v>1552940.6584701077</v>
      </c>
      <c r="I17" s="1066">
        <v>938481.27274713037</v>
      </c>
      <c r="J17" s="1030">
        <v>995056.19127692957</v>
      </c>
      <c r="K17" s="1065">
        <v>1053606.1334579424</v>
      </c>
      <c r="L17" s="1270"/>
    </row>
    <row r="18" spans="1:12" s="1248" customFormat="1" ht="13.5" x14ac:dyDescent="0.25">
      <c r="A18" s="249" t="s">
        <v>28</v>
      </c>
      <c r="B18" s="318"/>
      <c r="C18" s="852">
        <v>1188910.9024999174</v>
      </c>
      <c r="D18" s="852">
        <v>810433.78647808218</v>
      </c>
      <c r="E18" s="1146">
        <v>810433.78522744495</v>
      </c>
      <c r="F18" s="856">
        <v>1441068.0341202989</v>
      </c>
      <c r="G18" s="852">
        <v>1441068.0341202989</v>
      </c>
      <c r="H18" s="923">
        <v>1441068.0341202989</v>
      </c>
      <c r="I18" s="1147">
        <v>870873.81955004425</v>
      </c>
      <c r="J18" s="852">
        <v>923373.12541957572</v>
      </c>
      <c r="K18" s="923">
        <v>977705.17578895134</v>
      </c>
      <c r="L18" s="1270"/>
    </row>
    <row r="19" spans="1:12" s="1248" customFormat="1" ht="13.5" x14ac:dyDescent="0.25">
      <c r="A19" s="1191" t="s">
        <v>27</v>
      </c>
      <c r="B19" s="318"/>
      <c r="C19" s="1030">
        <v>1188910.9024999174</v>
      </c>
      <c r="D19" s="1030">
        <v>810433.78647808218</v>
      </c>
      <c r="E19" s="2024">
        <v>810433.78522744495</v>
      </c>
      <c r="F19" s="1066">
        <v>1441068.0341202989</v>
      </c>
      <c r="G19" s="1030">
        <v>1441068.0341202989</v>
      </c>
      <c r="H19" s="1067">
        <v>1441068.0341202989</v>
      </c>
      <c r="I19" s="1066">
        <v>870873.81955004425</v>
      </c>
      <c r="J19" s="1030">
        <v>923373.12541957572</v>
      </c>
      <c r="K19" s="1065">
        <v>977705.17578895134</v>
      </c>
      <c r="L19" s="1270"/>
    </row>
    <row r="20" spans="1:12" s="1248" customFormat="1" ht="13.5" x14ac:dyDescent="0.25">
      <c r="A20" s="1191" t="s">
        <v>29</v>
      </c>
      <c r="B20" s="318"/>
      <c r="C20" s="1030">
        <v>0</v>
      </c>
      <c r="D20" s="1030">
        <v>0</v>
      </c>
      <c r="E20" s="2024">
        <v>0</v>
      </c>
      <c r="F20" s="1066">
        <v>0</v>
      </c>
      <c r="G20" s="1030">
        <v>0</v>
      </c>
      <c r="H20" s="1067">
        <v>0</v>
      </c>
      <c r="I20" s="1066">
        <v>0</v>
      </c>
      <c r="J20" s="1030">
        <v>0</v>
      </c>
      <c r="K20" s="1065">
        <v>0</v>
      </c>
      <c r="L20" s="1270"/>
    </row>
    <row r="21" spans="1:12" s="1248" customFormat="1" ht="13.5" x14ac:dyDescent="0.25">
      <c r="A21" s="249" t="s">
        <v>30</v>
      </c>
      <c r="B21" s="318"/>
      <c r="C21" s="852">
        <v>0</v>
      </c>
      <c r="D21" s="852">
        <v>514</v>
      </c>
      <c r="E21" s="852">
        <v>757</v>
      </c>
      <c r="F21" s="856">
        <v>0</v>
      </c>
      <c r="G21" s="852">
        <v>0</v>
      </c>
      <c r="H21" s="923">
        <v>0</v>
      </c>
      <c r="I21" s="1147">
        <v>0</v>
      </c>
      <c r="J21" s="852">
        <v>0</v>
      </c>
      <c r="K21" s="923">
        <v>0</v>
      </c>
      <c r="L21" s="1270"/>
    </row>
    <row r="22" spans="1:12" s="1248" customFormat="1" ht="13.5" x14ac:dyDescent="0.25">
      <c r="A22" s="1191" t="s">
        <v>1090</v>
      </c>
      <c r="B22" s="318"/>
      <c r="C22" s="1030">
        <v>0</v>
      </c>
      <c r="D22" s="1030">
        <v>514</v>
      </c>
      <c r="E22" s="1067">
        <v>757</v>
      </c>
      <c r="F22" s="1066">
        <v>0</v>
      </c>
      <c r="G22" s="1030">
        <v>0</v>
      </c>
      <c r="H22" s="1067">
        <v>0</v>
      </c>
      <c r="I22" s="1066">
        <v>0</v>
      </c>
      <c r="J22" s="1030">
        <v>0</v>
      </c>
      <c r="K22" s="1065">
        <v>0</v>
      </c>
      <c r="L22" s="1269"/>
    </row>
    <row r="23" spans="1:12" s="1248" customFormat="1" ht="13.5" x14ac:dyDescent="0.25">
      <c r="A23" s="1191" t="s">
        <v>321</v>
      </c>
      <c r="B23" s="318">
        <v>2</v>
      </c>
      <c r="C23" s="1030">
        <v>0</v>
      </c>
      <c r="D23" s="1030">
        <v>0</v>
      </c>
      <c r="E23" s="1065">
        <v>0</v>
      </c>
      <c r="F23" s="1066">
        <v>0</v>
      </c>
      <c r="G23" s="1030">
        <v>0</v>
      </c>
      <c r="H23" s="1067">
        <v>0</v>
      </c>
      <c r="I23" s="1066">
        <v>0</v>
      </c>
      <c r="J23" s="1030">
        <v>0</v>
      </c>
      <c r="K23" s="1065">
        <v>0</v>
      </c>
      <c r="L23" s="1270"/>
    </row>
    <row r="24" spans="1:12" s="1248" customFormat="1" ht="13.5" x14ac:dyDescent="0.25">
      <c r="A24" s="1191" t="s">
        <v>138</v>
      </c>
      <c r="B24" s="318"/>
      <c r="C24" s="1030">
        <v>0</v>
      </c>
      <c r="D24" s="1030">
        <v>0</v>
      </c>
      <c r="E24" s="1065">
        <v>0</v>
      </c>
      <c r="F24" s="1066">
        <v>0</v>
      </c>
      <c r="G24" s="1030">
        <v>0</v>
      </c>
      <c r="H24" s="1067">
        <v>0</v>
      </c>
      <c r="I24" s="1066">
        <v>0</v>
      </c>
      <c r="J24" s="1030">
        <v>0</v>
      </c>
      <c r="K24" s="1065">
        <v>0</v>
      </c>
      <c r="L24" s="1270"/>
    </row>
    <row r="25" spans="1:12" s="1248" customFormat="1" ht="13.5" x14ac:dyDescent="0.25">
      <c r="A25" s="1191" t="s">
        <v>293</v>
      </c>
      <c r="B25" s="318">
        <v>3</v>
      </c>
      <c r="C25" s="1030">
        <v>0</v>
      </c>
      <c r="D25" s="1030">
        <v>0</v>
      </c>
      <c r="E25" s="1065">
        <v>0</v>
      </c>
      <c r="F25" s="1066">
        <v>0</v>
      </c>
      <c r="G25" s="1030">
        <v>0</v>
      </c>
      <c r="H25" s="1067">
        <v>0</v>
      </c>
      <c r="I25" s="1066">
        <v>0</v>
      </c>
      <c r="J25" s="1030">
        <v>0</v>
      </c>
      <c r="K25" s="1065">
        <v>0</v>
      </c>
      <c r="L25" s="1270"/>
    </row>
    <row r="26" spans="1:12" ht="5.0999999999999996" customHeight="1" x14ac:dyDescent="0.25">
      <c r="A26" s="658"/>
      <c r="B26" s="318"/>
      <c r="C26" s="205"/>
      <c r="D26" s="205"/>
      <c r="E26" s="256"/>
      <c r="F26" s="246"/>
      <c r="G26" s="205"/>
      <c r="H26" s="208"/>
      <c r="I26" s="246"/>
      <c r="J26" s="205"/>
      <c r="K26" s="256"/>
      <c r="L26" s="338"/>
    </row>
    <row r="27" spans="1:12" ht="17.25" customHeight="1" x14ac:dyDescent="0.25">
      <c r="A27" s="651" t="s">
        <v>1575</v>
      </c>
      <c r="B27" s="318"/>
      <c r="C27" s="357">
        <v>6718.6964383561644</v>
      </c>
      <c r="D27" s="357">
        <v>7341.17</v>
      </c>
      <c r="E27" s="313">
        <v>7341.17</v>
      </c>
      <c r="F27" s="358">
        <v>13053.657945755467</v>
      </c>
      <c r="G27" s="357">
        <v>13053.657945755467</v>
      </c>
      <c r="H27" s="359">
        <v>13053.657945755467</v>
      </c>
      <c r="I27" s="358">
        <v>7888.6552786936991</v>
      </c>
      <c r="J27" s="357">
        <v>8364.210883970034</v>
      </c>
      <c r="K27" s="313">
        <v>8856.3680786484492</v>
      </c>
      <c r="L27" s="338"/>
    </row>
    <row r="28" spans="1:12" ht="11.25" customHeight="1" x14ac:dyDescent="0.25">
      <c r="A28" s="249" t="s">
        <v>2</v>
      </c>
      <c r="B28" s="318"/>
      <c r="C28" s="2027">
        <v>0</v>
      </c>
      <c r="D28" s="2027">
        <v>0</v>
      </c>
      <c r="E28" s="2605">
        <v>0</v>
      </c>
      <c r="F28" s="1066">
        <v>0</v>
      </c>
      <c r="G28" s="1030">
        <v>0</v>
      </c>
      <c r="H28" s="1067">
        <v>0</v>
      </c>
      <c r="I28" s="1066">
        <v>0</v>
      </c>
      <c r="J28" s="1030">
        <v>0</v>
      </c>
      <c r="K28" s="1065">
        <v>0</v>
      </c>
      <c r="L28" s="1270"/>
    </row>
    <row r="29" spans="1:12" ht="11.25" customHeight="1" x14ac:dyDescent="0.25">
      <c r="A29" s="249" t="s">
        <v>1595</v>
      </c>
      <c r="B29" s="318"/>
      <c r="C29" s="1030">
        <v>0</v>
      </c>
      <c r="D29" s="1030">
        <v>0</v>
      </c>
      <c r="E29" s="1065">
        <v>0</v>
      </c>
      <c r="F29" s="1066">
        <v>0</v>
      </c>
      <c r="G29" s="1030">
        <v>0</v>
      </c>
      <c r="H29" s="1067">
        <v>0</v>
      </c>
      <c r="I29" s="1066">
        <v>0</v>
      </c>
      <c r="J29" s="1030">
        <v>0</v>
      </c>
      <c r="K29" s="1065">
        <v>0</v>
      </c>
      <c r="L29" s="1270"/>
    </row>
    <row r="30" spans="1:12" ht="11.25" customHeight="1" x14ac:dyDescent="0.25">
      <c r="A30" s="249" t="s">
        <v>506</v>
      </c>
      <c r="B30" s="318"/>
      <c r="C30" s="1030">
        <v>0</v>
      </c>
      <c r="D30" s="1030">
        <v>0</v>
      </c>
      <c r="E30" s="1065">
        <v>0</v>
      </c>
      <c r="F30" s="1066">
        <v>0</v>
      </c>
      <c r="G30" s="1030">
        <v>0</v>
      </c>
      <c r="H30" s="1067">
        <v>0</v>
      </c>
      <c r="I30" s="1066">
        <v>0</v>
      </c>
      <c r="J30" s="1030">
        <v>0</v>
      </c>
      <c r="K30" s="1065">
        <v>0</v>
      </c>
      <c r="L30" s="1270"/>
    </row>
    <row r="31" spans="1:12" ht="11.25" customHeight="1" x14ac:dyDescent="0.25">
      <c r="A31" s="249" t="s">
        <v>1</v>
      </c>
      <c r="B31" s="318"/>
      <c r="C31" s="1030">
        <v>0</v>
      </c>
      <c r="D31" s="1030">
        <v>0</v>
      </c>
      <c r="E31" s="1065">
        <v>0</v>
      </c>
      <c r="F31" s="1066">
        <v>0</v>
      </c>
      <c r="G31" s="1030">
        <v>0</v>
      </c>
      <c r="H31" s="1067">
        <v>0</v>
      </c>
      <c r="I31" s="1066">
        <v>0</v>
      </c>
      <c r="J31" s="1030">
        <v>0</v>
      </c>
      <c r="K31" s="1065">
        <v>0</v>
      </c>
      <c r="L31" s="1270"/>
    </row>
    <row r="32" spans="1:12" ht="11.25" customHeight="1" x14ac:dyDescent="0.25">
      <c r="A32" s="249" t="s">
        <v>340</v>
      </c>
      <c r="B32" s="318"/>
      <c r="C32" s="1030">
        <v>0</v>
      </c>
      <c r="D32" s="1030">
        <v>0</v>
      </c>
      <c r="E32" s="1065">
        <v>0</v>
      </c>
      <c r="F32" s="1066">
        <v>0</v>
      </c>
      <c r="G32" s="1030">
        <v>0</v>
      </c>
      <c r="H32" s="1067">
        <v>0</v>
      </c>
      <c r="I32" s="1066">
        <v>0</v>
      </c>
      <c r="J32" s="1030">
        <v>0</v>
      </c>
      <c r="K32" s="1065">
        <v>0</v>
      </c>
      <c r="L32" s="1270"/>
    </row>
    <row r="33" spans="1:15" ht="11.25" customHeight="1" x14ac:dyDescent="0.25">
      <c r="A33" s="249" t="s">
        <v>0</v>
      </c>
      <c r="B33" s="318"/>
      <c r="C33" s="1030">
        <v>0</v>
      </c>
      <c r="D33" s="1030">
        <v>1936</v>
      </c>
      <c r="E33" s="1065">
        <v>1936</v>
      </c>
      <c r="F33" s="1066">
        <v>3442.4869309636724</v>
      </c>
      <c r="G33" s="1030">
        <v>3442.4869309636724</v>
      </c>
      <c r="H33" s="1067">
        <v>3442.4869309636724</v>
      </c>
      <c r="I33" s="1066">
        <v>2080.3818219099953</v>
      </c>
      <c r="J33" s="1030">
        <v>2205.7944811747971</v>
      </c>
      <c r="K33" s="1065">
        <v>2335.5852814011114</v>
      </c>
      <c r="L33" s="1270"/>
    </row>
    <row r="34" spans="1:15" ht="11.25" customHeight="1" x14ac:dyDescent="0.25">
      <c r="A34" s="249" t="s">
        <v>1596</v>
      </c>
      <c r="B34" s="318"/>
      <c r="C34" s="1030">
        <v>0</v>
      </c>
      <c r="D34" s="1030">
        <v>0</v>
      </c>
      <c r="E34" s="1065">
        <v>0</v>
      </c>
      <c r="F34" s="1066">
        <v>0</v>
      </c>
      <c r="G34" s="1030">
        <v>0</v>
      </c>
      <c r="H34" s="1067">
        <v>0</v>
      </c>
      <c r="I34" s="1066">
        <v>0</v>
      </c>
      <c r="J34" s="1030">
        <v>0</v>
      </c>
      <c r="K34" s="1065">
        <v>0</v>
      </c>
      <c r="L34" s="1270"/>
    </row>
    <row r="35" spans="1:15" ht="11.25" customHeight="1" x14ac:dyDescent="0.25">
      <c r="A35" s="249" t="s">
        <v>964</v>
      </c>
      <c r="B35" s="318"/>
      <c r="C35" s="1030">
        <v>0</v>
      </c>
      <c r="D35" s="1030">
        <v>0</v>
      </c>
      <c r="E35" s="1065">
        <v>0</v>
      </c>
      <c r="F35" s="1066">
        <v>0</v>
      </c>
      <c r="G35" s="1030">
        <v>0</v>
      </c>
      <c r="H35" s="1067">
        <v>0</v>
      </c>
      <c r="I35" s="1066">
        <v>0</v>
      </c>
      <c r="J35" s="1030">
        <v>0</v>
      </c>
      <c r="K35" s="1065">
        <v>0</v>
      </c>
      <c r="L35" s="1270"/>
    </row>
    <row r="36" spans="1:15" ht="11.25" customHeight="1" x14ac:dyDescent="0.25">
      <c r="A36" s="249" t="s">
        <v>1531</v>
      </c>
      <c r="B36" s="318">
        <v>7</v>
      </c>
      <c r="C36" s="1030">
        <v>0</v>
      </c>
      <c r="D36" s="1030">
        <v>0</v>
      </c>
      <c r="E36" s="1065">
        <v>0</v>
      </c>
      <c r="F36" s="1066">
        <v>0</v>
      </c>
      <c r="G36" s="1030">
        <v>0</v>
      </c>
      <c r="H36" s="1067">
        <v>0</v>
      </c>
      <c r="I36" s="1066">
        <v>0</v>
      </c>
      <c r="J36" s="1030">
        <v>0</v>
      </c>
      <c r="K36" s="1065">
        <v>0</v>
      </c>
      <c r="L36" s="1270"/>
    </row>
    <row r="37" spans="1:15" ht="11.25" customHeight="1" x14ac:dyDescent="0.25">
      <c r="A37" s="249" t="s">
        <v>1289</v>
      </c>
      <c r="B37" s="318"/>
      <c r="C37" s="1030">
        <v>0</v>
      </c>
      <c r="D37" s="1030">
        <v>0</v>
      </c>
      <c r="E37" s="1065">
        <v>0</v>
      </c>
      <c r="F37" s="1066">
        <v>0</v>
      </c>
      <c r="G37" s="1030">
        <v>0</v>
      </c>
      <c r="H37" s="1067">
        <v>0</v>
      </c>
      <c r="I37" s="1066">
        <v>0</v>
      </c>
      <c r="J37" s="1030">
        <v>0</v>
      </c>
      <c r="K37" s="1065">
        <v>0</v>
      </c>
      <c r="L37" s="1270"/>
      <c r="O37" s="338"/>
    </row>
    <row r="38" spans="1:15" ht="11.25" customHeight="1" x14ac:dyDescent="0.25">
      <c r="A38" s="249" t="s">
        <v>724</v>
      </c>
      <c r="B38" s="318"/>
      <c r="C38" s="1030">
        <v>0</v>
      </c>
      <c r="D38" s="1030">
        <v>0</v>
      </c>
      <c r="E38" s="1065">
        <v>0</v>
      </c>
      <c r="F38" s="1066">
        <v>0</v>
      </c>
      <c r="G38" s="1030">
        <v>0</v>
      </c>
      <c r="H38" s="1067">
        <v>0</v>
      </c>
      <c r="I38" s="1066">
        <v>0</v>
      </c>
      <c r="J38" s="1030">
        <v>0</v>
      </c>
      <c r="K38" s="1065">
        <v>0</v>
      </c>
      <c r="L38" s="1270"/>
    </row>
    <row r="39" spans="1:15" ht="11.25" customHeight="1" x14ac:dyDescent="0.25">
      <c r="A39" s="249" t="s">
        <v>504</v>
      </c>
      <c r="B39" s="318"/>
      <c r="C39" s="1030">
        <v>6718.6964383561644</v>
      </c>
      <c r="D39" s="1030">
        <v>5405.17</v>
      </c>
      <c r="E39" s="1065">
        <v>5405.17</v>
      </c>
      <c r="F39" s="1066">
        <v>9611.1710147917947</v>
      </c>
      <c r="G39" s="1030">
        <v>9611.1710147917947</v>
      </c>
      <c r="H39" s="1067">
        <v>9611.1710147917947</v>
      </c>
      <c r="I39" s="1066">
        <v>5808.2734567837033</v>
      </c>
      <c r="J39" s="1030">
        <v>6158.4164027952365</v>
      </c>
      <c r="K39" s="1065">
        <v>6520.7827972473378</v>
      </c>
      <c r="L39" s="1270"/>
    </row>
    <row r="40" spans="1:15" ht="11.25" customHeight="1" x14ac:dyDescent="0.25">
      <c r="A40" s="249" t="s">
        <v>31</v>
      </c>
      <c r="B40" s="318">
        <v>8</v>
      </c>
      <c r="C40" s="1030">
        <v>0</v>
      </c>
      <c r="D40" s="1030">
        <v>0</v>
      </c>
      <c r="E40" s="1065">
        <v>0</v>
      </c>
      <c r="F40" s="1066">
        <v>0</v>
      </c>
      <c r="G40" s="1030">
        <v>0</v>
      </c>
      <c r="H40" s="1067">
        <v>0</v>
      </c>
      <c r="I40" s="1066">
        <v>0</v>
      </c>
      <c r="J40" s="1030">
        <v>0</v>
      </c>
      <c r="K40" s="1065">
        <v>0</v>
      </c>
      <c r="L40" s="338"/>
    </row>
    <row r="41" spans="1:15" ht="11.25" customHeight="1" x14ac:dyDescent="0.25">
      <c r="A41" s="249" t="s">
        <v>293</v>
      </c>
      <c r="B41" s="318"/>
      <c r="C41" s="2217">
        <v>0</v>
      </c>
      <c r="D41" s="2217">
        <v>0</v>
      </c>
      <c r="E41" s="2607">
        <v>0</v>
      </c>
      <c r="F41" s="1066">
        <v>0</v>
      </c>
      <c r="G41" s="1030">
        <v>0</v>
      </c>
      <c r="H41" s="1067">
        <v>0</v>
      </c>
      <c r="I41" s="1066">
        <v>0</v>
      </c>
      <c r="J41" s="1030">
        <v>0</v>
      </c>
      <c r="K41" s="1065">
        <v>0</v>
      </c>
      <c r="L41" s="1270"/>
    </row>
    <row r="42" spans="1:15" ht="5.0999999999999996" customHeight="1" x14ac:dyDescent="0.25">
      <c r="A42" s="658"/>
      <c r="B42" s="318"/>
      <c r="C42" s="205"/>
      <c r="D42" s="205"/>
      <c r="E42" s="256"/>
      <c r="F42" s="246"/>
      <c r="G42" s="205"/>
      <c r="H42" s="208"/>
      <c r="I42" s="246"/>
      <c r="J42" s="205"/>
      <c r="K42" s="256"/>
      <c r="L42" s="338"/>
    </row>
    <row r="43" spans="1:15" ht="17.25" customHeight="1" x14ac:dyDescent="0.25">
      <c r="A43" s="651" t="s">
        <v>967</v>
      </c>
      <c r="B43" s="318"/>
      <c r="C43" s="205">
        <v>0</v>
      </c>
      <c r="D43" s="205">
        <v>0</v>
      </c>
      <c r="E43" s="256">
        <v>0</v>
      </c>
      <c r="F43" s="246">
        <v>0</v>
      </c>
      <c r="G43" s="205">
        <v>0</v>
      </c>
      <c r="H43" s="208">
        <v>0</v>
      </c>
      <c r="I43" s="246">
        <v>0</v>
      </c>
      <c r="J43" s="205">
        <v>0</v>
      </c>
      <c r="K43" s="256">
        <v>0</v>
      </c>
      <c r="L43" s="338"/>
    </row>
    <row r="44" spans="1:15" ht="11.25" customHeight="1" x14ac:dyDescent="0.25">
      <c r="A44" s="249" t="s">
        <v>1261</v>
      </c>
      <c r="B44" s="318"/>
      <c r="C44" s="2032">
        <v>0</v>
      </c>
      <c r="D44" s="2032">
        <v>0</v>
      </c>
      <c r="E44" s="2610">
        <v>0</v>
      </c>
      <c r="F44" s="2611">
        <v>0</v>
      </c>
      <c r="G44" s="2032">
        <v>0</v>
      </c>
      <c r="H44" s="2612">
        <v>0</v>
      </c>
      <c r="I44" s="2611">
        <v>0</v>
      </c>
      <c r="J44" s="2032">
        <v>0</v>
      </c>
      <c r="K44" s="2610">
        <v>0</v>
      </c>
      <c r="L44" s="338"/>
    </row>
    <row r="45" spans="1:15" ht="11.25" customHeight="1" x14ac:dyDescent="0.25">
      <c r="A45" s="249" t="s">
        <v>293</v>
      </c>
      <c r="B45" s="318">
        <v>9</v>
      </c>
      <c r="C45" s="2123">
        <v>0</v>
      </c>
      <c r="D45" s="2123">
        <v>0</v>
      </c>
      <c r="E45" s="2613">
        <v>0</v>
      </c>
      <c r="F45" s="2614">
        <v>0</v>
      </c>
      <c r="G45" s="2123">
        <v>0</v>
      </c>
      <c r="H45" s="2615">
        <v>0</v>
      </c>
      <c r="I45" s="2614">
        <v>0</v>
      </c>
      <c r="J45" s="2123">
        <v>0</v>
      </c>
      <c r="K45" s="2613">
        <v>0</v>
      </c>
      <c r="L45" s="338"/>
    </row>
    <row r="46" spans="1:15" ht="5.0999999999999996" customHeight="1" x14ac:dyDescent="0.25">
      <c r="A46" s="658"/>
      <c r="B46" s="318"/>
      <c r="C46" s="205"/>
      <c r="D46" s="205"/>
      <c r="E46" s="256"/>
      <c r="F46" s="246"/>
      <c r="G46" s="205"/>
      <c r="H46" s="208"/>
      <c r="I46" s="246"/>
      <c r="J46" s="205"/>
      <c r="K46" s="256"/>
      <c r="L46" s="338"/>
    </row>
    <row r="47" spans="1:15" ht="17.25" customHeight="1" x14ac:dyDescent="0.25">
      <c r="A47" s="651" t="s">
        <v>968</v>
      </c>
      <c r="B47" s="318"/>
      <c r="C47" s="357">
        <v>0</v>
      </c>
      <c r="D47" s="357">
        <v>18714</v>
      </c>
      <c r="E47" s="313">
        <v>18714</v>
      </c>
      <c r="F47" s="358">
        <v>-4077407</v>
      </c>
      <c r="G47" s="357">
        <v>-4077407</v>
      </c>
      <c r="H47" s="359">
        <v>-4077407</v>
      </c>
      <c r="I47" s="358">
        <v>18714</v>
      </c>
      <c r="J47" s="357">
        <v>18714</v>
      </c>
      <c r="K47" s="313">
        <v>18714</v>
      </c>
      <c r="L47" s="338"/>
    </row>
    <row r="48" spans="1:15" ht="11.25" customHeight="1" x14ac:dyDescent="0.25">
      <c r="A48" s="249" t="s">
        <v>505</v>
      </c>
      <c r="B48" s="318"/>
      <c r="C48" s="2027">
        <v>0</v>
      </c>
      <c r="D48" s="2027">
        <v>0</v>
      </c>
      <c r="E48" s="2605">
        <v>0</v>
      </c>
      <c r="F48" s="2602">
        <v>0</v>
      </c>
      <c r="G48" s="2027">
        <v>0</v>
      </c>
      <c r="H48" s="2606">
        <v>0</v>
      </c>
      <c r="I48" s="2602">
        <v>0</v>
      </c>
      <c r="J48" s="2027">
        <v>0</v>
      </c>
      <c r="K48" s="2605">
        <v>0</v>
      </c>
      <c r="L48" s="1270"/>
    </row>
    <row r="49" spans="1:12" ht="11.25" customHeight="1" x14ac:dyDescent="0.25">
      <c r="A49" s="249" t="s">
        <v>293</v>
      </c>
      <c r="B49" s="318"/>
      <c r="C49" s="2217">
        <v>0</v>
      </c>
      <c r="D49" s="2217">
        <v>18714</v>
      </c>
      <c r="E49" s="2217">
        <v>18714</v>
      </c>
      <c r="F49" s="2608">
        <v>-4077407</v>
      </c>
      <c r="G49" s="2217">
        <v>-4077407</v>
      </c>
      <c r="H49" s="2609">
        <v>-4077407</v>
      </c>
      <c r="I49" s="2608">
        <v>18714</v>
      </c>
      <c r="J49" s="2217">
        <v>18714</v>
      </c>
      <c r="K49" s="2613">
        <v>18714</v>
      </c>
      <c r="L49" s="338"/>
    </row>
    <row r="50" spans="1:12" ht="5.0999999999999996" customHeight="1" x14ac:dyDescent="0.25">
      <c r="A50" s="658"/>
      <c r="B50" s="318"/>
      <c r="C50" s="205"/>
      <c r="D50" s="205"/>
      <c r="E50" s="256"/>
      <c r="F50" s="246"/>
      <c r="G50" s="205"/>
      <c r="H50" s="208"/>
      <c r="I50" s="246"/>
      <c r="J50" s="205"/>
      <c r="K50" s="256"/>
      <c r="L50" s="338"/>
    </row>
    <row r="51" spans="1:12" ht="17.25" customHeight="1" x14ac:dyDescent="0.25">
      <c r="A51" s="651" t="s">
        <v>969</v>
      </c>
      <c r="B51" s="318"/>
      <c r="C51" s="357">
        <v>457889.32153576275</v>
      </c>
      <c r="D51" s="357">
        <v>425211.49630801048</v>
      </c>
      <c r="E51" s="313">
        <v>567003.37</v>
      </c>
      <c r="F51" s="358">
        <v>1008213.6833870659</v>
      </c>
      <c r="G51" s="357">
        <v>1008213.6833870659</v>
      </c>
      <c r="H51" s="359">
        <v>1008213.6833870659</v>
      </c>
      <c r="I51" s="358">
        <v>609288.99995336111</v>
      </c>
      <c r="J51" s="357">
        <v>646019.06216606987</v>
      </c>
      <c r="K51" s="313">
        <v>684031.36646530393</v>
      </c>
      <c r="L51" s="338"/>
    </row>
    <row r="52" spans="1:12" ht="11.25" customHeight="1" x14ac:dyDescent="0.25">
      <c r="A52" s="249" t="s">
        <v>632</v>
      </c>
      <c r="B52" s="318"/>
      <c r="C52" s="2027">
        <v>260320.00375776627</v>
      </c>
      <c r="D52" s="2027">
        <v>165077.49013698631</v>
      </c>
      <c r="E52" s="2605">
        <v>166750.64000000001</v>
      </c>
      <c r="F52" s="2602">
        <v>296506.66267036583</v>
      </c>
      <c r="G52" s="2027">
        <v>296506.66267036583</v>
      </c>
      <c r="H52" s="2606">
        <v>296506.66267036583</v>
      </c>
      <c r="I52" s="2602">
        <v>179186.46707017443</v>
      </c>
      <c r="J52" s="2027">
        <v>189988.45115927962</v>
      </c>
      <c r="K52" s="2605">
        <v>201167.53122325178</v>
      </c>
      <c r="L52" s="1270"/>
    </row>
    <row r="53" spans="1:12" ht="11.25" customHeight="1" x14ac:dyDescent="0.25">
      <c r="A53" s="249" t="s">
        <v>32</v>
      </c>
      <c r="B53" s="318">
        <v>10</v>
      </c>
      <c r="C53" s="852">
        <v>0</v>
      </c>
      <c r="D53" s="852">
        <v>0</v>
      </c>
      <c r="E53" s="853">
        <v>0</v>
      </c>
      <c r="F53" s="854">
        <v>0</v>
      </c>
      <c r="G53" s="852">
        <v>0</v>
      </c>
      <c r="H53" s="855">
        <v>0</v>
      </c>
      <c r="I53" s="854">
        <v>0</v>
      </c>
      <c r="J53" s="852">
        <v>0</v>
      </c>
      <c r="K53" s="853">
        <v>0</v>
      </c>
      <c r="L53" s="338"/>
    </row>
    <row r="54" spans="1:12" ht="11.25" customHeight="1" x14ac:dyDescent="0.25">
      <c r="A54" s="249" t="s">
        <v>1249</v>
      </c>
      <c r="B54" s="318"/>
      <c r="C54" s="1030">
        <v>25270.42822816077</v>
      </c>
      <c r="D54" s="1030">
        <v>45221.34288219177</v>
      </c>
      <c r="E54" s="1065">
        <v>72592.45</v>
      </c>
      <c r="F54" s="1066">
        <v>129079.83492336459</v>
      </c>
      <c r="G54" s="1030">
        <v>129079.83492336459</v>
      </c>
      <c r="H54" s="1067">
        <v>129079.83492336459</v>
      </c>
      <c r="I54" s="1066">
        <v>78006.205262350326</v>
      </c>
      <c r="J54" s="1030">
        <v>82708.690901320966</v>
      </c>
      <c r="K54" s="1065">
        <v>87575.339752503147</v>
      </c>
      <c r="L54" s="1270"/>
    </row>
    <row r="55" spans="1:12" ht="11.25" customHeight="1" x14ac:dyDescent="0.25">
      <c r="A55" s="249" t="s">
        <v>633</v>
      </c>
      <c r="B55" s="318"/>
      <c r="C55" s="1030">
        <v>57740.251840706616</v>
      </c>
      <c r="D55" s="1030">
        <v>29452.570613698605</v>
      </c>
      <c r="E55" s="1065">
        <v>51254.92</v>
      </c>
      <c r="F55" s="1066">
        <v>91138.632359291601</v>
      </c>
      <c r="G55" s="1030">
        <v>91138.632359291601</v>
      </c>
      <c r="H55" s="1067">
        <v>91138.632359291601</v>
      </c>
      <c r="I55" s="1066">
        <v>55077.378022443714</v>
      </c>
      <c r="J55" s="1030">
        <v>58397.634126578356</v>
      </c>
      <c r="K55" s="1065">
        <v>61833.799974892267</v>
      </c>
      <c r="L55" s="1270"/>
    </row>
    <row r="56" spans="1:12" ht="11.25" customHeight="1" x14ac:dyDescent="0.25">
      <c r="A56" s="249" t="s">
        <v>634</v>
      </c>
      <c r="B56" s="318"/>
      <c r="C56" s="1030">
        <v>114558.63770912909</v>
      </c>
      <c r="D56" s="1030">
        <v>108729.0926751338</v>
      </c>
      <c r="E56" s="1065">
        <v>191102.6</v>
      </c>
      <c r="F56" s="1066">
        <v>339807.95608118712</v>
      </c>
      <c r="G56" s="1030">
        <v>339807.95608118712</v>
      </c>
      <c r="H56" s="1067">
        <v>339807.95608118712</v>
      </c>
      <c r="I56" s="1066">
        <v>205354.5326238311</v>
      </c>
      <c r="J56" s="1030">
        <v>217734.01881103031</v>
      </c>
      <c r="K56" s="1065">
        <v>230545.67138299794</v>
      </c>
      <c r="L56" s="1270"/>
    </row>
    <row r="57" spans="1:12" ht="11.25" customHeight="1" x14ac:dyDescent="0.25">
      <c r="A57" s="249" t="s">
        <v>1250</v>
      </c>
      <c r="B57" s="318"/>
      <c r="C57" s="1030">
        <v>0</v>
      </c>
      <c r="D57" s="1030">
        <v>0</v>
      </c>
      <c r="E57" s="1065">
        <v>0</v>
      </c>
      <c r="F57" s="1066">
        <v>0</v>
      </c>
      <c r="G57" s="1030">
        <v>0</v>
      </c>
      <c r="H57" s="1067">
        <v>0</v>
      </c>
      <c r="I57" s="1066">
        <v>0</v>
      </c>
      <c r="J57" s="1030">
        <v>0</v>
      </c>
      <c r="K57" s="1065">
        <v>0</v>
      </c>
      <c r="L57" s="1270"/>
    </row>
    <row r="58" spans="1:12" ht="11.25" customHeight="1" x14ac:dyDescent="0.25">
      <c r="A58" s="249" t="s">
        <v>1251</v>
      </c>
      <c r="B58" s="318"/>
      <c r="C58" s="1030">
        <v>0</v>
      </c>
      <c r="D58" s="1030">
        <v>0</v>
      </c>
      <c r="E58" s="1065">
        <v>0</v>
      </c>
      <c r="F58" s="1066">
        <v>0</v>
      </c>
      <c r="G58" s="1030">
        <v>0</v>
      </c>
      <c r="H58" s="1067">
        <v>0</v>
      </c>
      <c r="I58" s="1066">
        <v>0</v>
      </c>
      <c r="J58" s="1030">
        <v>0</v>
      </c>
      <c r="K58" s="1065">
        <v>0</v>
      </c>
      <c r="L58" s="1269"/>
    </row>
    <row r="59" spans="1:12" ht="11.25" customHeight="1" x14ac:dyDescent="0.25">
      <c r="A59" s="249" t="s">
        <v>1529</v>
      </c>
      <c r="B59" s="318"/>
      <c r="C59" s="1030">
        <v>0</v>
      </c>
      <c r="D59" s="1030">
        <v>76731</v>
      </c>
      <c r="E59" s="1065">
        <v>85302.76</v>
      </c>
      <c r="F59" s="1066">
        <v>151680.59735285677</v>
      </c>
      <c r="G59" s="1030">
        <v>151680.59735285677</v>
      </c>
      <c r="H59" s="1067">
        <v>151680.59735285677</v>
      </c>
      <c r="I59" s="1066">
        <v>91664.416974561493</v>
      </c>
      <c r="J59" s="1030">
        <v>97190.267167860642</v>
      </c>
      <c r="K59" s="1065">
        <v>102909.02413165881</v>
      </c>
      <c r="L59" s="1270"/>
    </row>
    <row r="60" spans="1:12" ht="11.25" customHeight="1" x14ac:dyDescent="0.25">
      <c r="A60" s="249" t="s">
        <v>323</v>
      </c>
      <c r="B60" s="318"/>
      <c r="C60" s="1030">
        <v>0</v>
      </c>
      <c r="D60" s="1030">
        <v>0</v>
      </c>
      <c r="E60" s="1065">
        <v>0</v>
      </c>
      <c r="F60" s="1066">
        <v>0</v>
      </c>
      <c r="G60" s="1030">
        <v>0</v>
      </c>
      <c r="H60" s="1067">
        <v>0</v>
      </c>
      <c r="I60" s="1066">
        <v>0</v>
      </c>
      <c r="J60" s="1030">
        <v>0</v>
      </c>
      <c r="K60" s="1065">
        <v>0</v>
      </c>
      <c r="L60" s="1270"/>
    </row>
    <row r="61" spans="1:12" ht="11.25" customHeight="1" x14ac:dyDescent="0.25">
      <c r="A61" s="249" t="s">
        <v>322</v>
      </c>
      <c r="B61" s="318"/>
      <c r="C61" s="1030">
        <v>0</v>
      </c>
      <c r="D61" s="1030">
        <v>0</v>
      </c>
      <c r="E61" s="1065">
        <v>0</v>
      </c>
      <c r="F61" s="1066">
        <v>0</v>
      </c>
      <c r="G61" s="1030">
        <v>0</v>
      </c>
      <c r="H61" s="1067">
        <v>0</v>
      </c>
      <c r="I61" s="1066">
        <v>0</v>
      </c>
      <c r="J61" s="1030">
        <v>0</v>
      </c>
      <c r="K61" s="1065">
        <v>0</v>
      </c>
      <c r="L61" s="1270"/>
    </row>
    <row r="62" spans="1:12" ht="11.25" customHeight="1" x14ac:dyDescent="0.25">
      <c r="A62" s="249" t="s">
        <v>635</v>
      </c>
      <c r="B62" s="318"/>
      <c r="C62" s="1030">
        <v>0</v>
      </c>
      <c r="D62" s="1030">
        <v>0</v>
      </c>
      <c r="E62" s="1065">
        <v>0</v>
      </c>
      <c r="F62" s="1066">
        <v>0</v>
      </c>
      <c r="G62" s="1030">
        <v>0</v>
      </c>
      <c r="H62" s="1067">
        <v>0</v>
      </c>
      <c r="I62" s="1066">
        <v>0</v>
      </c>
      <c r="J62" s="1030">
        <v>0</v>
      </c>
      <c r="K62" s="1065">
        <v>0</v>
      </c>
      <c r="L62" s="1270"/>
    </row>
    <row r="63" spans="1:12" ht="11.25" customHeight="1" x14ac:dyDescent="0.25">
      <c r="A63" s="249" t="s">
        <v>293</v>
      </c>
      <c r="B63" s="318"/>
      <c r="C63" s="2217">
        <v>0</v>
      </c>
      <c r="D63" s="2217">
        <v>0</v>
      </c>
      <c r="E63" s="2607">
        <v>0</v>
      </c>
      <c r="F63" s="2608">
        <v>0</v>
      </c>
      <c r="G63" s="2217">
        <v>0</v>
      </c>
      <c r="H63" s="2609">
        <v>0</v>
      </c>
      <c r="I63" s="2608">
        <v>0</v>
      </c>
      <c r="J63" s="2217">
        <v>0</v>
      </c>
      <c r="K63" s="2607">
        <v>0</v>
      </c>
      <c r="L63" s="1270"/>
    </row>
    <row r="64" spans="1:12" ht="5.0999999999999996" customHeight="1" x14ac:dyDescent="0.25">
      <c r="A64" s="768"/>
      <c r="B64" s="318"/>
      <c r="C64" s="205"/>
      <c r="D64" s="205"/>
      <c r="E64" s="256"/>
      <c r="F64" s="246"/>
      <c r="G64" s="205"/>
      <c r="H64" s="208"/>
      <c r="I64" s="246"/>
      <c r="J64" s="205"/>
      <c r="K64" s="256"/>
      <c r="L64" s="338"/>
    </row>
    <row r="65" spans="1:12" ht="13.5" customHeight="1" x14ac:dyDescent="0.25">
      <c r="A65" s="651" t="s">
        <v>1544</v>
      </c>
      <c r="B65" s="318"/>
      <c r="C65" s="205">
        <v>0</v>
      </c>
      <c r="D65" s="205">
        <v>0</v>
      </c>
      <c r="E65" s="256">
        <v>0</v>
      </c>
      <c r="F65" s="246">
        <v>0</v>
      </c>
      <c r="G65" s="205">
        <v>0</v>
      </c>
      <c r="H65" s="208">
        <v>0</v>
      </c>
      <c r="I65" s="246">
        <v>0</v>
      </c>
      <c r="J65" s="205">
        <v>0</v>
      </c>
      <c r="K65" s="256">
        <v>0</v>
      </c>
      <c r="L65" s="338"/>
    </row>
    <row r="66" spans="1:12" ht="11.25" customHeight="1" x14ac:dyDescent="0.25">
      <c r="A66" s="2560" t="s">
        <v>1262</v>
      </c>
      <c r="B66" s="318"/>
      <c r="C66" s="2027">
        <v>0</v>
      </c>
      <c r="D66" s="2027">
        <v>0</v>
      </c>
      <c r="E66" s="2605">
        <v>0</v>
      </c>
      <c r="F66" s="2602">
        <v>0</v>
      </c>
      <c r="G66" s="2027">
        <v>0</v>
      </c>
      <c r="H66" s="2606">
        <v>0</v>
      </c>
      <c r="I66" s="2602">
        <v>0</v>
      </c>
      <c r="J66" s="2027">
        <v>0</v>
      </c>
      <c r="K66" s="2605">
        <v>0</v>
      </c>
      <c r="L66" s="338"/>
    </row>
    <row r="67" spans="1:12" ht="11.25" customHeight="1" x14ac:dyDescent="0.25">
      <c r="A67" s="2560"/>
      <c r="B67" s="318"/>
      <c r="C67" s="2217">
        <v>0</v>
      </c>
      <c r="D67" s="2217">
        <v>0</v>
      </c>
      <c r="E67" s="2607">
        <v>0</v>
      </c>
      <c r="F67" s="2608">
        <v>0</v>
      </c>
      <c r="G67" s="2217">
        <v>0</v>
      </c>
      <c r="H67" s="2609">
        <v>0</v>
      </c>
      <c r="I67" s="2608">
        <v>0</v>
      </c>
      <c r="J67" s="2217">
        <v>0</v>
      </c>
      <c r="K67" s="2607">
        <v>0</v>
      </c>
      <c r="L67" s="338"/>
    </row>
    <row r="68" spans="1:12" ht="5.0999999999999996" customHeight="1" x14ac:dyDescent="0.25">
      <c r="A68" s="768"/>
      <c r="B68" s="318"/>
      <c r="C68" s="205"/>
      <c r="D68" s="205"/>
      <c r="E68" s="256"/>
      <c r="F68" s="246"/>
      <c r="G68" s="205"/>
      <c r="H68" s="208"/>
      <c r="I68" s="246"/>
      <c r="J68" s="205"/>
      <c r="K68" s="256"/>
      <c r="L68" s="338"/>
    </row>
    <row r="69" spans="1:12" ht="13.5" customHeight="1" x14ac:dyDescent="0.25">
      <c r="A69" s="651" t="s">
        <v>136</v>
      </c>
      <c r="B69" s="318"/>
      <c r="C69" s="205">
        <v>0</v>
      </c>
      <c r="D69" s="205">
        <v>0</v>
      </c>
      <c r="E69" s="256">
        <v>0</v>
      </c>
      <c r="F69" s="246">
        <v>0</v>
      </c>
      <c r="G69" s="205">
        <v>0</v>
      </c>
      <c r="H69" s="208">
        <v>0</v>
      </c>
      <c r="I69" s="246">
        <v>0</v>
      </c>
      <c r="J69" s="205">
        <v>0</v>
      </c>
      <c r="K69" s="256">
        <v>0</v>
      </c>
      <c r="L69" s="338"/>
    </row>
    <row r="70" spans="1:12" ht="11.25" customHeight="1" x14ac:dyDescent="0.25">
      <c r="A70" s="2560" t="s">
        <v>1262</v>
      </c>
      <c r="B70" s="318"/>
      <c r="C70" s="2027">
        <v>0</v>
      </c>
      <c r="D70" s="2027">
        <v>0</v>
      </c>
      <c r="E70" s="2605">
        <v>0</v>
      </c>
      <c r="F70" s="2602">
        <v>0</v>
      </c>
      <c r="G70" s="2027">
        <v>0</v>
      </c>
      <c r="H70" s="2606">
        <v>0</v>
      </c>
      <c r="I70" s="2602">
        <v>0</v>
      </c>
      <c r="J70" s="2027">
        <v>0</v>
      </c>
      <c r="K70" s="2605">
        <v>0</v>
      </c>
      <c r="L70" s="338"/>
    </row>
    <row r="71" spans="1:12" ht="11.25" customHeight="1" x14ac:dyDescent="0.25">
      <c r="A71" s="2560"/>
      <c r="B71" s="318"/>
      <c r="C71" s="2217">
        <v>0</v>
      </c>
      <c r="D71" s="2217">
        <v>0</v>
      </c>
      <c r="E71" s="2607">
        <v>0</v>
      </c>
      <c r="F71" s="2608">
        <v>0</v>
      </c>
      <c r="G71" s="2217">
        <v>0</v>
      </c>
      <c r="H71" s="2609">
        <v>0</v>
      </c>
      <c r="I71" s="2608">
        <v>0</v>
      </c>
      <c r="J71" s="2217">
        <v>0</v>
      </c>
      <c r="K71" s="2607">
        <v>0</v>
      </c>
      <c r="L71" s="338"/>
    </row>
    <row r="72" spans="1:12" ht="5.0999999999999996" customHeight="1" x14ac:dyDescent="0.25">
      <c r="A72" s="658"/>
      <c r="B72" s="318"/>
      <c r="C72" s="205"/>
      <c r="D72" s="205"/>
      <c r="E72" s="256"/>
      <c r="F72" s="246"/>
      <c r="G72" s="205"/>
      <c r="H72" s="208"/>
      <c r="I72" s="246"/>
      <c r="J72" s="205"/>
      <c r="K72" s="256"/>
      <c r="L72" s="338"/>
    </row>
    <row r="73" spans="1:12" ht="17.25" customHeight="1" x14ac:dyDescent="0.25">
      <c r="A73" s="651" t="s">
        <v>884</v>
      </c>
      <c r="B73" s="318"/>
      <c r="C73" s="205">
        <v>0</v>
      </c>
      <c r="D73" s="205">
        <v>448</v>
      </c>
      <c r="E73" s="256">
        <v>8866</v>
      </c>
      <c r="F73" s="246">
        <v>8800</v>
      </c>
      <c r="G73" s="205">
        <v>8800</v>
      </c>
      <c r="H73" s="208">
        <v>8800</v>
      </c>
      <c r="I73" s="246">
        <v>8800</v>
      </c>
      <c r="J73" s="205">
        <v>8800</v>
      </c>
      <c r="K73" s="256">
        <v>17416</v>
      </c>
      <c r="L73" s="338"/>
    </row>
    <row r="74" spans="1:12" ht="11.25" customHeight="1" x14ac:dyDescent="0.25">
      <c r="A74" s="249" t="s">
        <v>975</v>
      </c>
      <c r="B74" s="318"/>
      <c r="C74" s="2027">
        <v>0</v>
      </c>
      <c r="D74" s="2027">
        <v>448</v>
      </c>
      <c r="E74" s="2605">
        <v>8866</v>
      </c>
      <c r="F74" s="2602">
        <v>8800</v>
      </c>
      <c r="G74" s="2027">
        <v>8800</v>
      </c>
      <c r="H74" s="2606">
        <v>8800</v>
      </c>
      <c r="I74" s="2602">
        <v>8800</v>
      </c>
      <c r="J74" s="2027">
        <v>8800</v>
      </c>
      <c r="K74" s="2605">
        <v>17416</v>
      </c>
      <c r="L74" s="338"/>
    </row>
    <row r="75" spans="1:12" ht="11.25" customHeight="1" x14ac:dyDescent="0.25">
      <c r="A75" s="2477" t="s">
        <v>617</v>
      </c>
      <c r="B75" s="318"/>
      <c r="C75" s="2217">
        <v>0</v>
      </c>
      <c r="D75" s="2217">
        <v>0</v>
      </c>
      <c r="E75" s="2607">
        <v>0</v>
      </c>
      <c r="F75" s="2608">
        <v>0</v>
      </c>
      <c r="G75" s="2217">
        <v>0</v>
      </c>
      <c r="H75" s="2609">
        <v>0</v>
      </c>
      <c r="I75" s="2608">
        <v>0</v>
      </c>
      <c r="J75" s="2217">
        <v>0</v>
      </c>
      <c r="K75" s="2607">
        <v>0</v>
      </c>
      <c r="L75" s="338"/>
    </row>
    <row r="76" spans="1:12" ht="5.0999999999999996" customHeight="1" x14ac:dyDescent="0.25">
      <c r="A76" s="658"/>
      <c r="B76" s="318"/>
      <c r="C76" s="357"/>
      <c r="D76" s="357"/>
      <c r="E76" s="313"/>
      <c r="F76" s="358"/>
      <c r="G76" s="357"/>
      <c r="H76" s="359"/>
      <c r="I76" s="358"/>
      <c r="J76" s="357"/>
      <c r="K76" s="313"/>
      <c r="L76" s="338"/>
    </row>
    <row r="77" spans="1:12" x14ac:dyDescent="0.25">
      <c r="A77" s="659" t="s">
        <v>2057</v>
      </c>
      <c r="B77" s="2616">
        <v>1</v>
      </c>
      <c r="C77" s="224">
        <v>4025719.9765738035</v>
      </c>
      <c r="D77" s="224">
        <v>5134591.1346276868</v>
      </c>
      <c r="E77" s="320">
        <v>5329448.4946750039</v>
      </c>
      <c r="F77" s="321">
        <v>5357533.0000000009</v>
      </c>
      <c r="G77" s="224">
        <v>5357533.0000000009</v>
      </c>
      <c r="H77" s="223">
        <v>5357533.0000000009</v>
      </c>
      <c r="I77" s="321">
        <v>5723968.540000001</v>
      </c>
      <c r="J77" s="224">
        <v>6067370.652400001</v>
      </c>
      <c r="K77" s="320">
        <v>6431376.8915440002</v>
      </c>
      <c r="L77" s="338"/>
    </row>
    <row r="78" spans="1:12" x14ac:dyDescent="0.25">
      <c r="A78" s="1773"/>
      <c r="B78" s="1769"/>
      <c r="C78" s="359"/>
      <c r="D78" s="359"/>
      <c r="E78" s="359"/>
      <c r="F78" s="359"/>
      <c r="G78" s="359"/>
      <c r="H78" s="359"/>
      <c r="I78" s="359"/>
      <c r="J78" s="359"/>
      <c r="K78" s="359"/>
      <c r="L78" s="338"/>
    </row>
    <row r="79" spans="1:12" x14ac:dyDescent="0.25">
      <c r="A79" s="2617" t="s">
        <v>32</v>
      </c>
      <c r="B79" s="2618"/>
      <c r="C79" s="2159">
        <v>0</v>
      </c>
      <c r="D79" s="2156">
        <v>0</v>
      </c>
      <c r="E79" s="2619">
        <v>0</v>
      </c>
      <c r="F79" s="2159">
        <v>0</v>
      </c>
      <c r="G79" s="2156">
        <v>0</v>
      </c>
      <c r="H79" s="2619">
        <v>0</v>
      </c>
      <c r="I79" s="2159">
        <v>0</v>
      </c>
      <c r="J79" s="2156">
        <v>0</v>
      </c>
      <c r="K79" s="2619">
        <v>0</v>
      </c>
      <c r="L79" s="338"/>
    </row>
    <row r="80" spans="1:12" x14ac:dyDescent="0.25">
      <c r="A80" s="302" t="s">
        <v>1295</v>
      </c>
      <c r="B80" s="1840"/>
      <c r="C80" s="1031">
        <v>0</v>
      </c>
      <c r="D80" s="1030">
        <v>0</v>
      </c>
      <c r="E80" s="2025">
        <v>0</v>
      </c>
      <c r="F80" s="1031">
        <v>0</v>
      </c>
      <c r="G80" s="1030">
        <v>0</v>
      </c>
      <c r="H80" s="2025">
        <v>0</v>
      </c>
      <c r="I80" s="1031">
        <v>0</v>
      </c>
      <c r="J80" s="1030">
        <v>0</v>
      </c>
      <c r="K80" s="2025">
        <v>0</v>
      </c>
      <c r="L80" s="338"/>
    </row>
    <row r="81" spans="1:12" x14ac:dyDescent="0.25">
      <c r="A81" s="302" t="s">
        <v>1530</v>
      </c>
      <c r="B81" s="1840"/>
      <c r="C81" s="1031">
        <v>0</v>
      </c>
      <c r="D81" s="1030">
        <v>0</v>
      </c>
      <c r="E81" s="2025">
        <v>0</v>
      </c>
      <c r="F81" s="1031">
        <v>0</v>
      </c>
      <c r="G81" s="1030">
        <v>0</v>
      </c>
      <c r="H81" s="2025">
        <v>0</v>
      </c>
      <c r="I81" s="1031">
        <v>0</v>
      </c>
      <c r="J81" s="1030">
        <v>0</v>
      </c>
      <c r="K81" s="2025">
        <v>0</v>
      </c>
      <c r="L81" s="338"/>
    </row>
    <row r="82" spans="1:12" x14ac:dyDescent="0.25">
      <c r="A82" s="302" t="s">
        <v>1727</v>
      </c>
      <c r="B82" s="1840"/>
      <c r="C82" s="1031">
        <v>0</v>
      </c>
      <c r="D82" s="1030">
        <v>0</v>
      </c>
      <c r="E82" s="2025">
        <v>0</v>
      </c>
      <c r="F82" s="1031">
        <v>0</v>
      </c>
      <c r="G82" s="1030">
        <v>0</v>
      </c>
      <c r="H82" s="2025">
        <v>0</v>
      </c>
      <c r="I82" s="1031">
        <v>0</v>
      </c>
      <c r="J82" s="1030">
        <v>0</v>
      </c>
      <c r="K82" s="2025">
        <v>0</v>
      </c>
      <c r="L82" s="338"/>
    </row>
    <row r="83" spans="1:12" x14ac:dyDescent="0.25">
      <c r="A83" s="2620" t="s">
        <v>1728</v>
      </c>
      <c r="B83" s="1835"/>
      <c r="C83" s="2236">
        <v>0</v>
      </c>
      <c r="D83" s="2232">
        <v>0</v>
      </c>
      <c r="E83" s="2621">
        <v>0</v>
      </c>
      <c r="F83" s="2236">
        <v>0</v>
      </c>
      <c r="G83" s="2232">
        <v>0</v>
      </c>
      <c r="H83" s="2621">
        <v>0</v>
      </c>
      <c r="I83" s="2236">
        <v>0</v>
      </c>
      <c r="J83" s="2232">
        <v>0</v>
      </c>
      <c r="K83" s="2621">
        <v>0</v>
      </c>
      <c r="L83" s="338"/>
    </row>
    <row r="84" spans="1:12" s="625" customFormat="1" x14ac:dyDescent="0.25">
      <c r="A84" s="1787" t="s">
        <v>986</v>
      </c>
      <c r="B84" s="1927"/>
      <c r="C84" s="839"/>
      <c r="D84" s="839"/>
      <c r="E84" s="839"/>
      <c r="F84" s="839"/>
      <c r="G84" s="839"/>
      <c r="H84" s="839"/>
      <c r="I84" s="839"/>
      <c r="J84" s="839"/>
      <c r="K84" s="839"/>
      <c r="L84" s="1271"/>
    </row>
    <row r="85" spans="1:12" s="625" customFormat="1" ht="11.25" customHeight="1" x14ac:dyDescent="0.25">
      <c r="A85" s="1235" t="s">
        <v>2234</v>
      </c>
      <c r="B85" s="1927"/>
      <c r="C85" s="2083"/>
      <c r="D85" s="2083"/>
      <c r="E85" s="839"/>
      <c r="F85" s="839"/>
      <c r="G85" s="839"/>
      <c r="H85" s="839"/>
      <c r="I85" s="839"/>
      <c r="J85" s="839"/>
      <c r="K85" s="839"/>
    </row>
    <row r="86" spans="1:12" s="625" customFormat="1" ht="11.25" customHeight="1" x14ac:dyDescent="0.25">
      <c r="A86" s="1235" t="s">
        <v>320</v>
      </c>
      <c r="B86" s="1927"/>
      <c r="C86" s="2083"/>
      <c r="D86" s="2083"/>
      <c r="E86" s="839"/>
      <c r="F86" s="839"/>
      <c r="G86" s="839"/>
      <c r="H86" s="839"/>
      <c r="I86" s="839"/>
      <c r="J86" s="839"/>
      <c r="K86" s="839"/>
    </row>
    <row r="87" spans="1:12" s="625" customFormat="1" ht="11.25" customHeight="1" x14ac:dyDescent="0.25">
      <c r="A87" s="1235" t="s">
        <v>917</v>
      </c>
      <c r="B87" s="1927"/>
      <c r="C87" s="2083"/>
      <c r="D87" s="2083"/>
      <c r="E87" s="839"/>
      <c r="F87" s="839"/>
      <c r="G87" s="839"/>
      <c r="H87" s="839"/>
      <c r="I87" s="839"/>
      <c r="J87" s="839"/>
      <c r="K87" s="839"/>
    </row>
    <row r="88" spans="1:12" s="625" customFormat="1" ht="11.25" customHeight="1" x14ac:dyDescent="0.25">
      <c r="A88" s="1235" t="s">
        <v>324</v>
      </c>
      <c r="B88" s="1927"/>
      <c r="C88" s="2083"/>
      <c r="D88" s="2083"/>
      <c r="E88" s="839"/>
      <c r="F88" s="839"/>
      <c r="G88" s="839"/>
      <c r="H88" s="839"/>
      <c r="I88" s="839"/>
      <c r="J88" s="839"/>
      <c r="K88" s="839"/>
    </row>
    <row r="89" spans="1:12" s="625" customFormat="1" ht="11.25" customHeight="1" x14ac:dyDescent="0.25">
      <c r="A89" s="1235" t="s">
        <v>133</v>
      </c>
      <c r="B89" s="1927"/>
      <c r="C89" s="2083"/>
      <c r="D89" s="2083"/>
      <c r="E89" s="839"/>
      <c r="F89" s="839"/>
      <c r="G89" s="839"/>
      <c r="H89" s="839"/>
      <c r="I89" s="839"/>
      <c r="J89" s="839"/>
      <c r="K89" s="839"/>
    </row>
    <row r="90" spans="1:12" s="625" customFormat="1" ht="11.25" customHeight="1" x14ac:dyDescent="0.25">
      <c r="A90" s="1235" t="s">
        <v>1668</v>
      </c>
      <c r="B90" s="1927"/>
      <c r="C90" s="2083"/>
      <c r="D90" s="2083"/>
      <c r="E90" s="839"/>
      <c r="F90" s="839"/>
      <c r="G90" s="839"/>
      <c r="H90" s="839"/>
      <c r="I90" s="839"/>
      <c r="J90" s="839"/>
      <c r="K90" s="839"/>
    </row>
    <row r="91" spans="1:12" s="625" customFormat="1" ht="11.25" customHeight="1" x14ac:dyDescent="0.25">
      <c r="A91" s="1235" t="s">
        <v>33</v>
      </c>
      <c r="B91" s="1927"/>
      <c r="C91" s="2083"/>
      <c r="D91" s="2083"/>
      <c r="E91" s="839"/>
      <c r="F91" s="839"/>
      <c r="G91" s="839"/>
      <c r="H91" s="839"/>
      <c r="I91" s="839"/>
      <c r="J91" s="839"/>
      <c r="K91" s="839"/>
    </row>
    <row r="92" spans="1:12" s="625" customFormat="1" ht="11.25" customHeight="1" x14ac:dyDescent="0.25">
      <c r="A92" s="1235" t="s">
        <v>1340</v>
      </c>
      <c r="B92" s="1927"/>
      <c r="C92" s="2083"/>
      <c r="D92" s="2083"/>
      <c r="E92" s="839"/>
      <c r="F92" s="839"/>
      <c r="G92" s="839"/>
      <c r="H92" s="839"/>
      <c r="I92" s="839"/>
      <c r="J92" s="839"/>
      <c r="K92" s="839"/>
    </row>
    <row r="93" spans="1:12" s="625" customFormat="1" ht="11.25" customHeight="1" x14ac:dyDescent="0.25">
      <c r="A93" s="1235" t="s">
        <v>1341</v>
      </c>
      <c r="B93" s="1927"/>
      <c r="C93" s="2083"/>
      <c r="D93" s="2083"/>
      <c r="E93" s="839"/>
      <c r="F93" s="839"/>
      <c r="G93" s="839"/>
      <c r="H93" s="839"/>
      <c r="I93" s="839"/>
      <c r="J93" s="839"/>
      <c r="K93" s="839"/>
    </row>
    <row r="94" spans="1:12" s="625" customFormat="1" ht="11.25" customHeight="1" x14ac:dyDescent="0.25">
      <c r="A94" s="1235" t="s">
        <v>389</v>
      </c>
      <c r="B94" s="1927"/>
      <c r="C94" s="2083"/>
      <c r="D94" s="2083"/>
      <c r="E94" s="839"/>
      <c r="F94" s="839"/>
      <c r="G94" s="839"/>
      <c r="H94" s="839"/>
      <c r="I94" s="839"/>
      <c r="J94" s="839"/>
      <c r="K94" s="839"/>
    </row>
    <row r="95" spans="1:12" s="625" customFormat="1" ht="11.25" customHeight="1" x14ac:dyDescent="0.25">
      <c r="A95" s="2622"/>
      <c r="B95" s="1927"/>
      <c r="C95" s="2083"/>
      <c r="D95" s="2083"/>
      <c r="E95" s="839"/>
      <c r="F95" s="839"/>
      <c r="G95" s="839"/>
      <c r="H95" s="839"/>
      <c r="I95" s="839"/>
      <c r="J95" s="839"/>
      <c r="K95" s="839"/>
    </row>
    <row r="96" spans="1:12" ht="11.25" customHeight="1" x14ac:dyDescent="0.25">
      <c r="A96" s="328"/>
      <c r="B96" s="388"/>
      <c r="C96" s="233"/>
      <c r="D96" s="233"/>
      <c r="E96" s="234"/>
      <c r="F96" s="234"/>
      <c r="G96" s="234"/>
      <c r="H96" s="234"/>
      <c r="I96" s="234"/>
      <c r="J96" s="234"/>
      <c r="K96" s="234"/>
    </row>
    <row r="97" spans="1:11" ht="11.25" customHeight="1" x14ac:dyDescent="0.25">
      <c r="A97" s="2047" t="s">
        <v>550</v>
      </c>
      <c r="B97" s="2048"/>
      <c r="C97" s="253">
        <v>-1</v>
      </c>
      <c r="D97" s="253">
        <v>-0.29233811143785715</v>
      </c>
      <c r="E97" s="253">
        <v>-0.98386529181152582</v>
      </c>
      <c r="F97" s="253">
        <v>0</v>
      </c>
      <c r="G97" s="253">
        <v>0</v>
      </c>
      <c r="H97" s="253">
        <v>0</v>
      </c>
      <c r="I97" s="253">
        <v>0</v>
      </c>
      <c r="J97" s="253">
        <v>0</v>
      </c>
      <c r="K97" s="253">
        <v>0</v>
      </c>
    </row>
    <row r="98" spans="1:11" ht="11.25" customHeight="1" x14ac:dyDescent="0.25"/>
    <row r="99" spans="1:11" ht="11.25" customHeight="1" x14ac:dyDescent="0.25"/>
    <row r="100" spans="1:11" ht="11.25" customHeight="1" x14ac:dyDescent="0.25"/>
    <row r="101" spans="1:11" ht="11.25" customHeight="1" x14ac:dyDescent="0.25"/>
    <row r="102" spans="1:11" ht="11.25" customHeight="1" x14ac:dyDescent="0.25"/>
    <row r="103" spans="1:11" ht="11.25" customHeight="1" x14ac:dyDescent="0.25"/>
    <row r="104" spans="1:11" ht="11.25" customHeight="1" x14ac:dyDescent="0.25"/>
    <row r="105" spans="1:11" ht="11.25" customHeight="1" x14ac:dyDescent="0.25"/>
    <row r="106" spans="1:11" ht="11.25" customHeight="1" x14ac:dyDescent="0.25"/>
    <row r="107" spans="1:11" ht="11.25" customHeight="1" x14ac:dyDescent="0.25"/>
    <row r="108" spans="1:11" ht="11.25" customHeight="1" x14ac:dyDescent="0.25"/>
    <row r="109" spans="1:11" ht="11.25" customHeight="1" x14ac:dyDescent="0.25"/>
    <row r="110" spans="1:11" ht="11.25" customHeight="1" x14ac:dyDescent="0.25"/>
    <row r="111" spans="1:11" ht="11.25" customHeight="1" x14ac:dyDescent="0.25"/>
    <row r="112" spans="1:11"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sheetData>
  <mergeCells count="2">
    <mergeCell ref="F2:H2"/>
    <mergeCell ref="I2:K2"/>
  </mergeCells>
  <pageMargins left="0.75" right="0.75" top="1" bottom="1" header="0.5" footer="0.5"/>
  <pageSetup scale="4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enableFormatConditionsCalculation="0">
    <tabColor indexed="42"/>
    <pageSetUpPr fitToPage="1"/>
  </sheetPr>
  <dimension ref="A1:O147"/>
  <sheetViews>
    <sheetView showGridLines="0" tabSelected="1" workbookViewId="0">
      <pane xSplit="2" ySplit="3" topLeftCell="C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9" width="9.28515625" style="148" customWidth="1"/>
    <col min="10" max="10" width="9.5703125" style="148" customWidth="1"/>
    <col min="11" max="11" width="9.85546875" style="148" customWidth="1"/>
    <col min="12" max="14" width="9.5703125" style="148" customWidth="1"/>
    <col min="15" max="15" width="9.85546875" style="148" customWidth="1"/>
    <col min="16" max="18" width="9.5703125" style="148" customWidth="1"/>
    <col min="19" max="20" width="9.85546875" style="148" customWidth="1"/>
    <col min="21" max="16384" width="9.140625" style="148"/>
  </cols>
  <sheetData>
    <row r="1" spans="1:10" ht="13.5" customHeight="1" x14ac:dyDescent="0.25">
      <c r="A1" s="748" t="str">
        <f>muni&amp;" - "&amp;TableA35</f>
        <v>NC071 Ubuntu - Supporting Table SA35 Future financial implications of the capital budget</v>
      </c>
      <c r="B1" s="748"/>
      <c r="C1" s="748"/>
      <c r="D1" s="748"/>
      <c r="E1" s="748"/>
      <c r="F1" s="748"/>
      <c r="G1" s="748"/>
      <c r="H1" s="748"/>
      <c r="I1" s="748"/>
    </row>
    <row r="2" spans="1:10" ht="33.75" customHeight="1" x14ac:dyDescent="0.25">
      <c r="A2" s="786" t="str">
        <f>Vdesc</f>
        <v>Vote Description</v>
      </c>
      <c r="B2" s="379" t="str">
        <f>head27</f>
        <v>Ref</v>
      </c>
      <c r="C2" s="2756" t="str">
        <f>Head3</f>
        <v>2012/13 Medium Term Revenue &amp; Expenditure Framework</v>
      </c>
      <c r="D2" s="2698"/>
      <c r="E2" s="2698"/>
      <c r="F2" s="2738" t="s">
        <v>880</v>
      </c>
      <c r="G2" s="2763"/>
      <c r="H2" s="2763"/>
      <c r="I2" s="2764"/>
    </row>
    <row r="3" spans="1:10" ht="25.5" x14ac:dyDescent="0.25">
      <c r="A3" s="179" t="s">
        <v>667</v>
      </c>
      <c r="B3" s="791"/>
      <c r="C3" s="788" t="str">
        <f>Head9</f>
        <v>Budget Year 2012/13</v>
      </c>
      <c r="D3" s="353" t="str">
        <f>Head10</f>
        <v>Budget Year +1 2013/14</v>
      </c>
      <c r="E3" s="352" t="str">
        <f>Head11</f>
        <v>Budget Year +2 2014/15</v>
      </c>
      <c r="F3" s="804" t="str">
        <f>Head12</f>
        <v>Forecast 2015/16</v>
      </c>
      <c r="G3" s="805" t="str">
        <f>Head13</f>
        <v>Forecast 2016/17</v>
      </c>
      <c r="H3" s="805" t="str">
        <f>Head14</f>
        <v>Forecast 2017/18</v>
      </c>
      <c r="I3" s="806" t="str">
        <f>Head48</f>
        <v>Present value</v>
      </c>
    </row>
    <row r="4" spans="1:10" x14ac:dyDescent="0.25">
      <c r="A4" s="244" t="s">
        <v>1516</v>
      </c>
      <c r="B4" s="632">
        <v>1</v>
      </c>
      <c r="C4" s="749"/>
      <c r="D4" s="749"/>
      <c r="E4" s="750"/>
      <c r="F4" s="294"/>
      <c r="G4" s="292"/>
      <c r="H4" s="292"/>
      <c r="I4" s="295"/>
      <c r="J4" s="338"/>
    </row>
    <row r="5" spans="1:10" ht="11.25" customHeight="1" x14ac:dyDescent="0.25">
      <c r="A5" s="944" t="str">
        <f>'A5-Capex'!A6</f>
        <v>Vote 1 - Budget &amp; Treasury</v>
      </c>
      <c r="B5" s="181"/>
      <c r="C5" s="1192">
        <f>'A5-Capex'!J6+'A5-Capex'!J24</f>
        <v>150000</v>
      </c>
      <c r="D5" s="1192">
        <f>'A5-Capex'!K6+'A5-Capex'!K24</f>
        <v>159000</v>
      </c>
      <c r="E5" s="1193">
        <f>'A5-Capex'!L6+'A5-Capex'!L24</f>
        <v>168540</v>
      </c>
      <c r="F5" s="1325"/>
      <c r="G5" s="1323"/>
      <c r="H5" s="1323"/>
      <c r="I5" s="1324"/>
      <c r="J5" s="338"/>
    </row>
    <row r="6" spans="1:10" ht="11.25" customHeight="1" x14ac:dyDescent="0.25">
      <c r="A6" s="944" t="str">
        <f>'A5-Capex'!A7</f>
        <v>Vote 2 - Community &amp; Social Services</v>
      </c>
      <c r="B6" s="181"/>
      <c r="C6" s="1192">
        <f>'A5-Capex'!J7+'A5-Capex'!J25</f>
        <v>2405000</v>
      </c>
      <c r="D6" s="1192">
        <f>'A5-Capex'!K7+'A5-Capex'!K25</f>
        <v>895700</v>
      </c>
      <c r="E6" s="1193">
        <f>'A5-Capex'!L7+'A5-Capex'!L25</f>
        <v>949442</v>
      </c>
      <c r="F6" s="1325"/>
      <c r="G6" s="1323"/>
      <c r="H6" s="1323"/>
      <c r="I6" s="1324"/>
      <c r="J6" s="338"/>
    </row>
    <row r="7" spans="1:10" ht="11.25" customHeight="1" x14ac:dyDescent="0.25">
      <c r="A7" s="944" t="str">
        <f>'A5-Capex'!A8</f>
        <v>Vote 3 - Electricity</v>
      </c>
      <c r="B7" s="181"/>
      <c r="C7" s="1192">
        <f>'A5-Capex'!J8+'A5-Capex'!J26</f>
        <v>0</v>
      </c>
      <c r="D7" s="1192">
        <f>'A5-Capex'!K8+'A5-Capex'!K26</f>
        <v>0</v>
      </c>
      <c r="E7" s="1193">
        <f>'A5-Capex'!L8+'A5-Capex'!L26</f>
        <v>0</v>
      </c>
      <c r="F7" s="1325"/>
      <c r="G7" s="1323"/>
      <c r="H7" s="1323"/>
      <c r="I7" s="1324"/>
      <c r="J7" s="338"/>
    </row>
    <row r="8" spans="1:10" ht="11.25" customHeight="1" x14ac:dyDescent="0.25">
      <c r="A8" s="944" t="str">
        <f>'A5-Capex'!A9</f>
        <v>Vote 4 - Executive &amp; Council</v>
      </c>
      <c r="B8" s="181"/>
      <c r="C8" s="1192">
        <f>'A5-Capex'!J9+'A5-Capex'!J27</f>
        <v>460000</v>
      </c>
      <c r="D8" s="1192">
        <f>'A5-Capex'!K9+'A5-Capex'!K27</f>
        <v>487600</v>
      </c>
      <c r="E8" s="1193">
        <f>'A5-Capex'!L9+'A5-Capex'!L27</f>
        <v>516856</v>
      </c>
      <c r="F8" s="1325"/>
      <c r="G8" s="1323"/>
      <c r="H8" s="1323"/>
      <c r="I8" s="1324"/>
      <c r="J8" s="338"/>
    </row>
    <row r="9" spans="1:10" ht="11.25" customHeight="1" x14ac:dyDescent="0.25">
      <c r="A9" s="944" t="str">
        <f>'A5-Capex'!A10</f>
        <v>Vote 5 - Health</v>
      </c>
      <c r="B9" s="181"/>
      <c r="C9" s="1192">
        <f>'A5-Capex'!J10+'A5-Capex'!J28</f>
        <v>0</v>
      </c>
      <c r="D9" s="1192">
        <f>'A5-Capex'!K10+'A5-Capex'!K28</f>
        <v>0</v>
      </c>
      <c r="E9" s="1193">
        <f>'A5-Capex'!L10+'A5-Capex'!L28</f>
        <v>0</v>
      </c>
      <c r="F9" s="1325"/>
      <c r="G9" s="1323"/>
      <c r="H9" s="1323"/>
      <c r="I9" s="1324"/>
      <c r="J9" s="338"/>
    </row>
    <row r="10" spans="1:10" ht="11.25" customHeight="1" x14ac:dyDescent="0.25">
      <c r="A10" s="944" t="str">
        <f>'A5-Capex'!A11</f>
        <v>Vote 6 - Planning &amp; Development</v>
      </c>
      <c r="B10" s="181"/>
      <c r="C10" s="1192">
        <f>'A5-Capex'!J11+'A5-Capex'!J29</f>
        <v>4613700</v>
      </c>
      <c r="D10" s="1192">
        <f>'A5-Capex'!K11+'A5-Capex'!K29</f>
        <v>7500000</v>
      </c>
      <c r="E10" s="1193">
        <f>'A5-Capex'!L11+'A5-Capex'!L29</f>
        <v>12843000</v>
      </c>
      <c r="F10" s="1325"/>
      <c r="G10" s="1323"/>
      <c r="H10" s="1323"/>
      <c r="I10" s="1324"/>
      <c r="J10" s="338"/>
    </row>
    <row r="11" spans="1:10" ht="11.25" customHeight="1" x14ac:dyDescent="0.25">
      <c r="A11" s="944" t="str">
        <f>'A5-Capex'!A12</f>
        <v>Vote 7 - Public Safety</v>
      </c>
      <c r="B11" s="181"/>
      <c r="C11" s="1192">
        <f>'A5-Capex'!J12+'A5-Capex'!J30</f>
        <v>0</v>
      </c>
      <c r="D11" s="1192">
        <f>'A5-Capex'!K12+'A5-Capex'!K30</f>
        <v>0</v>
      </c>
      <c r="E11" s="1193">
        <f>'A5-Capex'!L12+'A5-Capex'!L30</f>
        <v>0</v>
      </c>
      <c r="F11" s="1325"/>
      <c r="G11" s="1323"/>
      <c r="H11" s="1323"/>
      <c r="I11" s="1324"/>
      <c r="J11" s="338"/>
    </row>
    <row r="12" spans="1:10" ht="11.25" customHeight="1" x14ac:dyDescent="0.25">
      <c r="A12" s="944" t="str">
        <f>'A5-Capex'!A13</f>
        <v>Vote 8 - Sport &amp; Recreation</v>
      </c>
      <c r="B12" s="181"/>
      <c r="C12" s="1192">
        <f>'A5-Capex'!J13+'A5-Capex'!J31</f>
        <v>0</v>
      </c>
      <c r="D12" s="1192">
        <f>'A5-Capex'!K13+'A5-Capex'!K31</f>
        <v>0</v>
      </c>
      <c r="E12" s="1193">
        <f>'A5-Capex'!L13+'A5-Capex'!L31</f>
        <v>0</v>
      </c>
      <c r="F12" s="1325"/>
      <c r="G12" s="1323"/>
      <c r="H12" s="1323"/>
      <c r="I12" s="1324"/>
      <c r="J12" s="338"/>
    </row>
    <row r="13" spans="1:10" ht="11.25" customHeight="1" x14ac:dyDescent="0.25">
      <c r="A13" s="944" t="str">
        <f>'A5-Capex'!A14</f>
        <v>Vote 9 - Waste Management</v>
      </c>
      <c r="B13" s="181"/>
      <c r="C13" s="1192">
        <f>'A5-Capex'!J14+'A5-Capex'!J32</f>
        <v>5336300</v>
      </c>
      <c r="D13" s="1192">
        <f>'A5-Capex'!K14+'A5-Capex'!K32</f>
        <v>3700000</v>
      </c>
      <c r="E13" s="1193">
        <f>'A5-Capex'!L14+'A5-Capex'!L32</f>
        <v>0</v>
      </c>
      <c r="F13" s="1325"/>
      <c r="G13" s="1323"/>
      <c r="H13" s="1323"/>
      <c r="I13" s="1324"/>
      <c r="J13" s="338"/>
    </row>
    <row r="14" spans="1:10" ht="11.25" customHeight="1" x14ac:dyDescent="0.25">
      <c r="A14" s="944" t="str">
        <f>'A5-Capex'!A15</f>
        <v>Vote 10 - Water</v>
      </c>
      <c r="B14" s="181"/>
      <c r="C14" s="1192">
        <f>'A5-Capex'!J15+'A5-Capex'!J33</f>
        <v>0</v>
      </c>
      <c r="D14" s="1192">
        <f>'A5-Capex'!K15+'A5-Capex'!K33</f>
        <v>1750000</v>
      </c>
      <c r="E14" s="1193">
        <f>'A5-Capex'!L15+'A5-Capex'!L33</f>
        <v>0</v>
      </c>
      <c r="F14" s="1325"/>
      <c r="G14" s="1323"/>
      <c r="H14" s="1323"/>
      <c r="I14" s="1324"/>
      <c r="J14" s="338"/>
    </row>
    <row r="15" spans="1:10" ht="11.25" customHeight="1" x14ac:dyDescent="0.25">
      <c r="A15" s="944" t="str">
        <f>'A5-Capex'!A16</f>
        <v>Vote 11 - [NAME OF VOTE 11]</v>
      </c>
      <c r="B15" s="181"/>
      <c r="C15" s="1192">
        <f>'A5-Capex'!J16+'A5-Capex'!J34</f>
        <v>0</v>
      </c>
      <c r="D15" s="1192">
        <f>'A5-Capex'!K16+'A5-Capex'!K34</f>
        <v>0</v>
      </c>
      <c r="E15" s="1193">
        <f>'A5-Capex'!L16+'A5-Capex'!L34</f>
        <v>0</v>
      </c>
      <c r="F15" s="1325"/>
      <c r="G15" s="1323"/>
      <c r="H15" s="1323"/>
      <c r="I15" s="1324"/>
      <c r="J15" s="338"/>
    </row>
    <row r="16" spans="1:10" ht="11.25" customHeight="1" x14ac:dyDescent="0.25">
      <c r="A16" s="944" t="str">
        <f>'A5-Capex'!A17</f>
        <v>Vote 12 - [NAME OF VOTE 12]</v>
      </c>
      <c r="B16" s="181"/>
      <c r="C16" s="1192">
        <f>'A5-Capex'!J17+'A5-Capex'!J35</f>
        <v>0</v>
      </c>
      <c r="D16" s="1192">
        <f>'A5-Capex'!K17+'A5-Capex'!K35</f>
        <v>0</v>
      </c>
      <c r="E16" s="1193">
        <f>'A5-Capex'!L17+'A5-Capex'!L35</f>
        <v>0</v>
      </c>
      <c r="F16" s="1325"/>
      <c r="G16" s="1323"/>
      <c r="H16" s="1323"/>
      <c r="I16" s="1324"/>
      <c r="J16" s="338"/>
    </row>
    <row r="17" spans="1:10" ht="11.25" customHeight="1" x14ac:dyDescent="0.25">
      <c r="A17" s="944" t="str">
        <f>'A5-Capex'!A18</f>
        <v>Vote 13 - [NAME OF VOTE 13]</v>
      </c>
      <c r="B17" s="181"/>
      <c r="C17" s="1192">
        <f>'A5-Capex'!J18+'A5-Capex'!J36</f>
        <v>0</v>
      </c>
      <c r="D17" s="1192">
        <f>'A5-Capex'!K18+'A5-Capex'!K36</f>
        <v>0</v>
      </c>
      <c r="E17" s="1193">
        <f>'A5-Capex'!L18+'A5-Capex'!L36</f>
        <v>0</v>
      </c>
      <c r="F17" s="1325"/>
      <c r="G17" s="1323"/>
      <c r="H17" s="1323"/>
      <c r="I17" s="1324"/>
      <c r="J17" s="338"/>
    </row>
    <row r="18" spans="1:10" ht="11.25" customHeight="1" x14ac:dyDescent="0.25">
      <c r="A18" s="944" t="str">
        <f>'A5-Capex'!A19</f>
        <v>Vote 14 - [NAME OF VOTE 14]</v>
      </c>
      <c r="B18" s="181"/>
      <c r="C18" s="1192">
        <f>'A5-Capex'!J19+'A5-Capex'!J37</f>
        <v>0</v>
      </c>
      <c r="D18" s="1192">
        <f>'A5-Capex'!K19+'A5-Capex'!K37</f>
        <v>0</v>
      </c>
      <c r="E18" s="1193">
        <f>'A5-Capex'!L19+'A5-Capex'!L37</f>
        <v>0</v>
      </c>
      <c r="F18" s="1325"/>
      <c r="G18" s="1323"/>
      <c r="H18" s="1323"/>
      <c r="I18" s="1324"/>
      <c r="J18" s="338"/>
    </row>
    <row r="19" spans="1:10" ht="11.25" customHeight="1" x14ac:dyDescent="0.25">
      <c r="A19" s="944" t="str">
        <f>'A5-Capex'!A20</f>
        <v>Vote 15 - [NAME OF VOTE 15]</v>
      </c>
      <c r="B19" s="181"/>
      <c r="C19" s="1192">
        <f>'A5-Capex'!J20+'A5-Capex'!J38</f>
        <v>0</v>
      </c>
      <c r="D19" s="1192">
        <f>'A5-Capex'!K20+'A5-Capex'!K38</f>
        <v>0</v>
      </c>
      <c r="E19" s="1193">
        <f>'A5-Capex'!L20+'A5-Capex'!L38</f>
        <v>0</v>
      </c>
      <c r="F19" s="1325"/>
      <c r="G19" s="1323"/>
      <c r="H19" s="1323"/>
      <c r="I19" s="1324"/>
      <c r="J19" s="338"/>
    </row>
    <row r="20" spans="1:10" ht="11.25" customHeight="1" x14ac:dyDescent="0.25">
      <c r="A20" s="1460" t="s">
        <v>1494</v>
      </c>
      <c r="B20" s="181"/>
      <c r="C20" s="1323"/>
      <c r="D20" s="1323"/>
      <c r="E20" s="1326"/>
      <c r="F20" s="1325"/>
      <c r="G20" s="1323"/>
      <c r="H20" s="1323"/>
      <c r="I20" s="1324"/>
      <c r="J20" s="338"/>
    </row>
    <row r="21" spans="1:10" ht="11.25" customHeight="1" x14ac:dyDescent="0.25">
      <c r="A21" s="1028" t="s">
        <v>38</v>
      </c>
      <c r="B21" s="181"/>
      <c r="C21" s="1085">
        <f>SUM(C5:C20)</f>
        <v>12965000</v>
      </c>
      <c r="D21" s="1085">
        <f t="shared" ref="D21:I21" si="0">SUM(D5:D20)</f>
        <v>14492300</v>
      </c>
      <c r="E21" s="1086">
        <f t="shared" si="0"/>
        <v>14477838</v>
      </c>
      <c r="F21" s="1084">
        <f t="shared" si="0"/>
        <v>0</v>
      </c>
      <c r="G21" s="1085">
        <f t="shared" si="0"/>
        <v>0</v>
      </c>
      <c r="H21" s="1085">
        <f t="shared" si="0"/>
        <v>0</v>
      </c>
      <c r="I21" s="1083">
        <f t="shared" si="0"/>
        <v>0</v>
      </c>
      <c r="J21" s="338"/>
    </row>
    <row r="22" spans="1:10" ht="4.5" customHeight="1" x14ac:dyDescent="0.25">
      <c r="A22" s="265"/>
      <c r="B22" s="181"/>
      <c r="C22" s="755"/>
      <c r="D22" s="755"/>
      <c r="E22" s="756"/>
      <c r="F22" s="757"/>
      <c r="G22" s="755"/>
      <c r="H22" s="755"/>
      <c r="I22" s="758"/>
      <c r="J22" s="338"/>
    </row>
    <row r="23" spans="1:10" ht="11.25" customHeight="1" x14ac:dyDescent="0.25">
      <c r="A23" s="244" t="s">
        <v>881</v>
      </c>
      <c r="B23" s="181">
        <v>2</v>
      </c>
      <c r="C23" s="751"/>
      <c r="D23" s="751"/>
      <c r="E23" s="752"/>
      <c r="F23" s="753"/>
      <c r="G23" s="751"/>
      <c r="H23" s="751"/>
      <c r="I23" s="754"/>
      <c r="J23" s="338"/>
    </row>
    <row r="24" spans="1:10" ht="11.25" customHeight="1" x14ac:dyDescent="0.25">
      <c r="A24" s="944" t="str">
        <f>A5</f>
        <v>Vote 1 - Budget &amp; Treasury</v>
      </c>
      <c r="B24" s="181"/>
      <c r="C24" s="1323"/>
      <c r="D24" s="1323"/>
      <c r="E24" s="1326"/>
      <c r="F24" s="1325"/>
      <c r="G24" s="1323"/>
      <c r="H24" s="1323"/>
      <c r="I24" s="1324"/>
      <c r="J24" s="338"/>
    </row>
    <row r="25" spans="1:10" ht="11.25" customHeight="1" x14ac:dyDescent="0.25">
      <c r="A25" s="944" t="str">
        <f t="shared" ref="A25:A38" si="1">A6</f>
        <v>Vote 2 - Community &amp; Social Services</v>
      </c>
      <c r="B25" s="181"/>
      <c r="C25" s="1323"/>
      <c r="D25" s="1323"/>
      <c r="E25" s="1326"/>
      <c r="F25" s="1325"/>
      <c r="G25" s="1323"/>
      <c r="H25" s="1323"/>
      <c r="I25" s="1324"/>
      <c r="J25" s="338"/>
    </row>
    <row r="26" spans="1:10" ht="11.25" customHeight="1" x14ac:dyDescent="0.25">
      <c r="A26" s="944" t="str">
        <f t="shared" si="1"/>
        <v>Vote 3 - Electricity</v>
      </c>
      <c r="B26" s="181"/>
      <c r="C26" s="1323"/>
      <c r="D26" s="1323"/>
      <c r="E26" s="1326"/>
      <c r="F26" s="1325"/>
      <c r="G26" s="1323"/>
      <c r="H26" s="1323"/>
      <c r="I26" s="1324"/>
      <c r="J26" s="338"/>
    </row>
    <row r="27" spans="1:10" ht="11.25" customHeight="1" x14ac:dyDescent="0.25">
      <c r="A27" s="944" t="str">
        <f t="shared" si="1"/>
        <v>Vote 4 - Executive &amp; Council</v>
      </c>
      <c r="B27" s="181"/>
      <c r="C27" s="1323"/>
      <c r="D27" s="1323"/>
      <c r="E27" s="1326"/>
      <c r="F27" s="1325"/>
      <c r="G27" s="1323"/>
      <c r="H27" s="1323"/>
      <c r="I27" s="1324"/>
      <c r="J27" s="338"/>
    </row>
    <row r="28" spans="1:10" ht="11.25" customHeight="1" x14ac:dyDescent="0.25">
      <c r="A28" s="944" t="str">
        <f t="shared" si="1"/>
        <v>Vote 5 - Health</v>
      </c>
      <c r="B28" s="181"/>
      <c r="C28" s="1323"/>
      <c r="D28" s="1323"/>
      <c r="E28" s="1326"/>
      <c r="F28" s="1325"/>
      <c r="G28" s="1323"/>
      <c r="H28" s="1323"/>
      <c r="I28" s="1324"/>
      <c r="J28" s="338"/>
    </row>
    <row r="29" spans="1:10" ht="11.25" customHeight="1" x14ac:dyDescent="0.25">
      <c r="A29" s="944" t="str">
        <f t="shared" si="1"/>
        <v>Vote 6 - Planning &amp; Development</v>
      </c>
      <c r="B29" s="181"/>
      <c r="C29" s="1323"/>
      <c r="D29" s="1323"/>
      <c r="E29" s="1326"/>
      <c r="F29" s="1325"/>
      <c r="G29" s="1323"/>
      <c r="H29" s="1323"/>
      <c r="I29" s="1324"/>
      <c r="J29" s="338"/>
    </row>
    <row r="30" spans="1:10" ht="11.25" customHeight="1" x14ac:dyDescent="0.25">
      <c r="A30" s="944" t="str">
        <f t="shared" si="1"/>
        <v>Vote 7 - Public Safety</v>
      </c>
      <c r="B30" s="181"/>
      <c r="C30" s="1323"/>
      <c r="D30" s="1323"/>
      <c r="E30" s="1326"/>
      <c r="F30" s="1325"/>
      <c r="G30" s="1323"/>
      <c r="H30" s="1323"/>
      <c r="I30" s="1324"/>
      <c r="J30" s="338"/>
    </row>
    <row r="31" spans="1:10" ht="11.25" customHeight="1" x14ac:dyDescent="0.25">
      <c r="A31" s="944" t="str">
        <f t="shared" si="1"/>
        <v>Vote 8 - Sport &amp; Recreation</v>
      </c>
      <c r="B31" s="181"/>
      <c r="C31" s="1323"/>
      <c r="D31" s="1323"/>
      <c r="E31" s="1326"/>
      <c r="F31" s="1325"/>
      <c r="G31" s="1323"/>
      <c r="H31" s="1323"/>
      <c r="I31" s="1324"/>
      <c r="J31" s="338"/>
    </row>
    <row r="32" spans="1:10" ht="11.25" customHeight="1" x14ac:dyDescent="0.25">
      <c r="A32" s="944" t="str">
        <f t="shared" si="1"/>
        <v>Vote 9 - Waste Management</v>
      </c>
      <c r="B32" s="181"/>
      <c r="C32" s="1323"/>
      <c r="D32" s="1323"/>
      <c r="E32" s="1326"/>
      <c r="F32" s="1325"/>
      <c r="G32" s="1323"/>
      <c r="H32" s="1323"/>
      <c r="I32" s="1324"/>
      <c r="J32" s="338"/>
    </row>
    <row r="33" spans="1:15" ht="11.25" customHeight="1" x14ac:dyDescent="0.25">
      <c r="A33" s="944" t="str">
        <f t="shared" si="1"/>
        <v>Vote 10 - Water</v>
      </c>
      <c r="B33" s="181"/>
      <c r="C33" s="1323"/>
      <c r="D33" s="1323"/>
      <c r="E33" s="1326"/>
      <c r="F33" s="1325"/>
      <c r="G33" s="1323"/>
      <c r="H33" s="1323"/>
      <c r="I33" s="1324"/>
      <c r="J33" s="338"/>
    </row>
    <row r="34" spans="1:15" ht="11.25" customHeight="1" x14ac:dyDescent="0.25">
      <c r="A34" s="944" t="str">
        <f t="shared" si="1"/>
        <v>Vote 11 - [NAME OF VOTE 11]</v>
      </c>
      <c r="B34" s="181"/>
      <c r="C34" s="1323"/>
      <c r="D34" s="1323"/>
      <c r="E34" s="1326"/>
      <c r="F34" s="1325"/>
      <c r="G34" s="1323"/>
      <c r="H34" s="1323"/>
      <c r="I34" s="1324"/>
      <c r="J34" s="338"/>
    </row>
    <row r="35" spans="1:15" ht="11.25" customHeight="1" x14ac:dyDescent="0.25">
      <c r="A35" s="944" t="str">
        <f t="shared" si="1"/>
        <v>Vote 12 - [NAME OF VOTE 12]</v>
      </c>
      <c r="B35" s="181"/>
      <c r="C35" s="1323"/>
      <c r="D35" s="1323"/>
      <c r="E35" s="1326"/>
      <c r="F35" s="1325"/>
      <c r="G35" s="1323"/>
      <c r="H35" s="1323"/>
      <c r="I35" s="1324"/>
      <c r="J35" s="338"/>
    </row>
    <row r="36" spans="1:15" ht="11.25" customHeight="1" x14ac:dyDescent="0.25">
      <c r="A36" s="944" t="str">
        <f t="shared" si="1"/>
        <v>Vote 13 - [NAME OF VOTE 13]</v>
      </c>
      <c r="B36" s="181"/>
      <c r="C36" s="1323"/>
      <c r="D36" s="1323"/>
      <c r="E36" s="1326"/>
      <c r="F36" s="1325"/>
      <c r="G36" s="1323"/>
      <c r="H36" s="1323"/>
      <c r="I36" s="1324"/>
      <c r="J36" s="338"/>
    </row>
    <row r="37" spans="1:15" ht="11.25" customHeight="1" x14ac:dyDescent="0.25">
      <c r="A37" s="944" t="str">
        <f t="shared" si="1"/>
        <v>Vote 14 - [NAME OF VOTE 14]</v>
      </c>
      <c r="B37" s="181"/>
      <c r="C37" s="1323"/>
      <c r="D37" s="1323"/>
      <c r="E37" s="1326"/>
      <c r="F37" s="1325"/>
      <c r="G37" s="1323"/>
      <c r="H37" s="1323"/>
      <c r="I37" s="1324"/>
      <c r="J37" s="338"/>
      <c r="O37" s="338"/>
    </row>
    <row r="38" spans="1:15" ht="11.25" customHeight="1" x14ac:dyDescent="0.25">
      <c r="A38" s="944" t="str">
        <f t="shared" si="1"/>
        <v>Vote 15 - [NAME OF VOTE 15]</v>
      </c>
      <c r="B38" s="181"/>
      <c r="C38" s="1323"/>
      <c r="D38" s="1323"/>
      <c r="E38" s="1326"/>
      <c r="F38" s="1325"/>
      <c r="G38" s="1323"/>
      <c r="H38" s="1323"/>
      <c r="I38" s="1324"/>
      <c r="J38" s="338"/>
    </row>
    <row r="39" spans="1:15" ht="11.25" customHeight="1" x14ac:dyDescent="0.25">
      <c r="A39" s="1460" t="s">
        <v>1494</v>
      </c>
      <c r="B39" s="181"/>
      <c r="C39" s="1323"/>
      <c r="D39" s="1323"/>
      <c r="E39" s="1326"/>
      <c r="F39" s="1325"/>
      <c r="G39" s="1323"/>
      <c r="H39" s="1323"/>
      <c r="I39" s="1324"/>
      <c r="J39" s="338"/>
    </row>
    <row r="40" spans="1:15" x14ac:dyDescent="0.25">
      <c r="A40" s="257" t="s">
        <v>14</v>
      </c>
      <c r="B40" s="181"/>
      <c r="C40" s="1194">
        <f>SUM(C24:C39)</f>
        <v>0</v>
      </c>
      <c r="D40" s="1194">
        <f t="shared" ref="D40:I40" si="2">SUM(D24:D39)</f>
        <v>0</v>
      </c>
      <c r="E40" s="1195">
        <f t="shared" si="2"/>
        <v>0</v>
      </c>
      <c r="F40" s="1196">
        <f t="shared" si="2"/>
        <v>0</v>
      </c>
      <c r="G40" s="1194">
        <f t="shared" si="2"/>
        <v>0</v>
      </c>
      <c r="H40" s="1194">
        <f t="shared" si="2"/>
        <v>0</v>
      </c>
      <c r="I40" s="1197">
        <f t="shared" si="2"/>
        <v>0</v>
      </c>
      <c r="J40" s="338"/>
    </row>
    <row r="41" spans="1:15" ht="4.5" customHeight="1" x14ac:dyDescent="0.25">
      <c r="A41" s="265"/>
      <c r="B41" s="181"/>
      <c r="C41" s="751"/>
      <c r="D41" s="751"/>
      <c r="E41" s="752"/>
      <c r="F41" s="753"/>
      <c r="G41" s="751"/>
      <c r="H41" s="751"/>
      <c r="I41" s="754"/>
      <c r="J41" s="338"/>
    </row>
    <row r="42" spans="1:15" ht="11.25" customHeight="1" x14ac:dyDescent="0.25">
      <c r="A42" s="244" t="s">
        <v>882</v>
      </c>
      <c r="B42" s="181">
        <v>3</v>
      </c>
      <c r="C42" s="751"/>
      <c r="D42" s="751"/>
      <c r="E42" s="752"/>
      <c r="F42" s="753"/>
      <c r="G42" s="751"/>
      <c r="H42" s="751"/>
      <c r="I42" s="754"/>
      <c r="J42" s="338"/>
    </row>
    <row r="43" spans="1:15" ht="11.25" customHeight="1" x14ac:dyDescent="0.25">
      <c r="A43" s="944" t="str">
        <f>'A4-FinPerf RE'!A5</f>
        <v>Property rates</v>
      </c>
      <c r="B43" s="181"/>
      <c r="C43" s="1323"/>
      <c r="D43" s="1323"/>
      <c r="E43" s="1326"/>
      <c r="F43" s="1325"/>
      <c r="G43" s="1323"/>
      <c r="H43" s="1323"/>
      <c r="I43" s="1324"/>
      <c r="J43" s="338"/>
    </row>
    <row r="44" spans="1:15" ht="11.25" customHeight="1" x14ac:dyDescent="0.25">
      <c r="A44" s="944" t="str">
        <f>'A4-FinPerf RE'!A6</f>
        <v>Property rates - penalties &amp; collection charges</v>
      </c>
      <c r="B44" s="181"/>
      <c r="C44" s="1323"/>
      <c r="D44" s="1323"/>
      <c r="E44" s="1326"/>
      <c r="F44" s="1325"/>
      <c r="G44" s="1323"/>
      <c r="H44" s="1323"/>
      <c r="I44" s="1324"/>
      <c r="J44" s="338"/>
    </row>
    <row r="45" spans="1:15" ht="11.25" customHeight="1" x14ac:dyDescent="0.25">
      <c r="A45" s="944" t="str">
        <f>'A4-FinPerf RE'!A7</f>
        <v>Service charges - electricity revenue</v>
      </c>
      <c r="B45" s="181"/>
      <c r="C45" s="1323"/>
      <c r="D45" s="1323"/>
      <c r="E45" s="1326"/>
      <c r="F45" s="1325"/>
      <c r="G45" s="1323"/>
      <c r="H45" s="1323"/>
      <c r="I45" s="1324"/>
      <c r="J45" s="338"/>
    </row>
    <row r="46" spans="1:15" ht="11.25" customHeight="1" x14ac:dyDescent="0.25">
      <c r="A46" s="944" t="str">
        <f>'A4-FinPerf RE'!A8</f>
        <v>Service charges - water revenue</v>
      </c>
      <c r="B46" s="181"/>
      <c r="C46" s="1323"/>
      <c r="D46" s="1323"/>
      <c r="E46" s="1326"/>
      <c r="F46" s="1325"/>
      <c r="G46" s="1323"/>
      <c r="H46" s="1323"/>
      <c r="I46" s="1324"/>
      <c r="J46" s="338"/>
    </row>
    <row r="47" spans="1:15" ht="11.25" customHeight="1" x14ac:dyDescent="0.25">
      <c r="A47" s="944" t="str">
        <f>'A4-FinPerf RE'!A9</f>
        <v>Service charges - sanitation revenue</v>
      </c>
      <c r="B47" s="181"/>
      <c r="C47" s="1323"/>
      <c r="D47" s="1323"/>
      <c r="E47" s="1326"/>
      <c r="F47" s="1325"/>
      <c r="G47" s="1323"/>
      <c r="H47" s="1323"/>
      <c r="I47" s="1324"/>
      <c r="J47" s="338"/>
    </row>
    <row r="48" spans="1:15" ht="11.25" customHeight="1" x14ac:dyDescent="0.25">
      <c r="A48" s="944" t="str">
        <f>'A4-FinPerf RE'!A10</f>
        <v>Service charges - refuse revenue</v>
      </c>
      <c r="B48" s="181"/>
      <c r="C48" s="1323"/>
      <c r="D48" s="1323"/>
      <c r="E48" s="1326"/>
      <c r="F48" s="1325"/>
      <c r="G48" s="1323"/>
      <c r="H48" s="1323"/>
      <c r="I48" s="1324"/>
      <c r="J48" s="338"/>
    </row>
    <row r="49" spans="1:10" ht="11.25" customHeight="1" x14ac:dyDescent="0.25">
      <c r="A49" s="944" t="str">
        <f>'A4-FinPerf RE'!A11</f>
        <v>Service charges - other</v>
      </c>
      <c r="B49" s="181"/>
      <c r="C49" s="1323"/>
      <c r="D49" s="1323"/>
      <c r="E49" s="1326"/>
      <c r="F49" s="1325"/>
      <c r="G49" s="1323"/>
      <c r="H49" s="1323"/>
      <c r="I49" s="1324"/>
      <c r="J49" s="338"/>
    </row>
    <row r="50" spans="1:10" ht="11.25" customHeight="1" x14ac:dyDescent="0.25">
      <c r="A50" s="944" t="str">
        <f>'A4-FinPerf RE'!A12</f>
        <v>Rental of facilities and equipment</v>
      </c>
      <c r="B50" s="181"/>
      <c r="C50" s="1323"/>
      <c r="D50" s="1323"/>
      <c r="E50" s="1326"/>
      <c r="F50" s="1325"/>
      <c r="G50" s="1323"/>
      <c r="H50" s="1323"/>
      <c r="I50" s="1324"/>
      <c r="J50" s="338"/>
    </row>
    <row r="51" spans="1:10" ht="11.25" customHeight="1" x14ac:dyDescent="0.25">
      <c r="A51" s="1460" t="s">
        <v>299</v>
      </c>
      <c r="B51" s="181"/>
      <c r="C51" s="1323"/>
      <c r="D51" s="1323"/>
      <c r="E51" s="1326"/>
      <c r="F51" s="1325"/>
      <c r="G51" s="1323"/>
      <c r="H51" s="1323"/>
      <c r="I51" s="1324"/>
      <c r="J51" s="338"/>
    </row>
    <row r="52" spans="1:10" ht="11.25" customHeight="1" x14ac:dyDescent="0.25">
      <c r="A52" s="1460" t="s">
        <v>1494</v>
      </c>
      <c r="B52" s="181"/>
      <c r="C52" s="1323"/>
      <c r="D52" s="1323"/>
      <c r="E52" s="1326"/>
      <c r="F52" s="1325"/>
      <c r="G52" s="1323"/>
      <c r="H52" s="1323"/>
      <c r="I52" s="1324"/>
      <c r="J52" s="338"/>
    </row>
    <row r="53" spans="1:10" x14ac:dyDescent="0.25">
      <c r="A53" s="257" t="s">
        <v>124</v>
      </c>
      <c r="B53" s="181"/>
      <c r="C53" s="1194">
        <f>SUM(C43:C52)</f>
        <v>0</v>
      </c>
      <c r="D53" s="1194">
        <f t="shared" ref="D53:I53" si="3">SUM(D43:D52)</f>
        <v>0</v>
      </c>
      <c r="E53" s="1195">
        <f t="shared" si="3"/>
        <v>0</v>
      </c>
      <c r="F53" s="1196">
        <f t="shared" si="3"/>
        <v>0</v>
      </c>
      <c r="G53" s="1194">
        <f t="shared" si="3"/>
        <v>0</v>
      </c>
      <c r="H53" s="1194">
        <f t="shared" si="3"/>
        <v>0</v>
      </c>
      <c r="I53" s="1197">
        <f t="shared" si="3"/>
        <v>0</v>
      </c>
      <c r="J53" s="338"/>
    </row>
    <row r="54" spans="1:10" x14ac:dyDescent="0.25">
      <c r="A54" s="268" t="s">
        <v>883</v>
      </c>
      <c r="B54" s="222"/>
      <c r="C54" s="224">
        <f t="shared" ref="C54:I54" si="4">C21+C40-C53</f>
        <v>12965000</v>
      </c>
      <c r="D54" s="224">
        <f t="shared" si="4"/>
        <v>14492300</v>
      </c>
      <c r="E54" s="223">
        <f t="shared" si="4"/>
        <v>14477838</v>
      </c>
      <c r="F54" s="321">
        <f t="shared" si="4"/>
        <v>0</v>
      </c>
      <c r="G54" s="224">
        <f t="shared" si="4"/>
        <v>0</v>
      </c>
      <c r="H54" s="224">
        <f t="shared" si="4"/>
        <v>0</v>
      </c>
      <c r="I54" s="320">
        <f t="shared" si="4"/>
        <v>0</v>
      </c>
      <c r="J54" s="338"/>
    </row>
    <row r="55" spans="1:10" s="625" customFormat="1" ht="11.25" customHeight="1" x14ac:dyDescent="0.25">
      <c r="A55" s="1009" t="str">
        <f>head27a</f>
        <v>References</v>
      </c>
      <c r="B55" s="869"/>
      <c r="C55" s="866"/>
      <c r="D55" s="866"/>
      <c r="E55" s="866"/>
      <c r="F55" s="866"/>
      <c r="G55" s="866"/>
      <c r="H55" s="866"/>
      <c r="I55" s="866"/>
    </row>
    <row r="56" spans="1:10" s="625" customFormat="1" ht="11.25" customHeight="1" x14ac:dyDescent="0.25">
      <c r="A56" s="1010" t="s">
        <v>19</v>
      </c>
      <c r="B56" s="866"/>
      <c r="C56" s="866"/>
      <c r="D56" s="866"/>
      <c r="E56" s="866"/>
      <c r="F56" s="866"/>
      <c r="G56" s="866"/>
      <c r="H56" s="866"/>
      <c r="I56" s="866"/>
    </row>
    <row r="57" spans="1:10" s="625" customFormat="1" ht="11.25" customHeight="1" x14ac:dyDescent="0.25">
      <c r="A57" s="1010" t="s">
        <v>20</v>
      </c>
      <c r="B57" s="866"/>
      <c r="C57" s="866"/>
      <c r="D57" s="866"/>
      <c r="E57" s="866"/>
      <c r="F57" s="866"/>
      <c r="G57" s="866"/>
      <c r="H57" s="866"/>
      <c r="I57" s="866"/>
    </row>
    <row r="58" spans="1:10" s="625" customFormat="1" ht="11.25" customHeight="1" x14ac:dyDescent="0.25">
      <c r="A58" s="1148" t="s">
        <v>1493</v>
      </c>
      <c r="B58" s="875"/>
      <c r="C58" s="875"/>
      <c r="D58" s="875"/>
      <c r="E58" s="875"/>
      <c r="F58" s="875"/>
      <c r="G58" s="875"/>
      <c r="H58" s="875"/>
      <c r="I58" s="875"/>
    </row>
    <row r="59" spans="1:10" ht="11.25" customHeight="1" x14ac:dyDescent="0.25">
      <c r="B59" s="148"/>
    </row>
    <row r="60" spans="1:10" x14ac:dyDescent="0.25">
      <c r="A60" s="392" t="s">
        <v>1528</v>
      </c>
      <c r="B60" s="148"/>
      <c r="C60" s="752">
        <f>C21-('A5-Capex'!J21+'A5-Capex'!J39)</f>
        <v>0</v>
      </c>
      <c r="D60" s="752">
        <f>D21-('A5-Capex'!K21+'A5-Capex'!K39)</f>
        <v>0</v>
      </c>
      <c r="E60" s="752">
        <f>E21-('A5-Capex'!L21+'A5-Capex'!L39)</f>
        <v>0</v>
      </c>
      <c r="F60" s="338"/>
    </row>
    <row r="61" spans="1:10" ht="11.25" customHeight="1" x14ac:dyDescent="0.25">
      <c r="B61" s="148"/>
    </row>
    <row r="62" spans="1:10" ht="11.25" customHeight="1" x14ac:dyDescent="0.25">
      <c r="B62" s="148"/>
    </row>
    <row r="63" spans="1:10" ht="11.25" customHeight="1" x14ac:dyDescent="0.25">
      <c r="B63" s="148"/>
    </row>
    <row r="64" spans="1:10" ht="11.25" customHeight="1" x14ac:dyDescent="0.25">
      <c r="B64" s="148"/>
    </row>
    <row r="65" spans="2:2" ht="11.25" customHeight="1" x14ac:dyDescent="0.25">
      <c r="B65" s="148"/>
    </row>
    <row r="66" spans="2:2" ht="11.25" customHeight="1" x14ac:dyDescent="0.25">
      <c r="B66" s="148"/>
    </row>
    <row r="67" spans="2:2" ht="11.25" customHeight="1" x14ac:dyDescent="0.25">
      <c r="B67" s="148"/>
    </row>
    <row r="68" spans="2:2" ht="11.25" customHeight="1" x14ac:dyDescent="0.25">
      <c r="B68" s="148"/>
    </row>
    <row r="69" spans="2:2" ht="11.25" customHeight="1" x14ac:dyDescent="0.25">
      <c r="B69" s="148"/>
    </row>
    <row r="70" spans="2:2" ht="11.25" customHeight="1" x14ac:dyDescent="0.25">
      <c r="B70" s="148"/>
    </row>
    <row r="71" spans="2:2" ht="11.25" customHeight="1" x14ac:dyDescent="0.25">
      <c r="B71" s="148"/>
    </row>
    <row r="72" spans="2:2" ht="11.25" customHeight="1" x14ac:dyDescent="0.25">
      <c r="B72" s="148"/>
    </row>
    <row r="73" spans="2:2" ht="11.25" customHeight="1" x14ac:dyDescent="0.25">
      <c r="B73" s="148"/>
    </row>
    <row r="74" spans="2:2" ht="11.25" customHeight="1" x14ac:dyDescent="0.25">
      <c r="B74" s="148"/>
    </row>
    <row r="75" spans="2:2" ht="11.25" customHeight="1" x14ac:dyDescent="0.25">
      <c r="B75" s="148"/>
    </row>
    <row r="76" spans="2:2" ht="11.25" customHeight="1" x14ac:dyDescent="0.25">
      <c r="B76" s="148"/>
    </row>
    <row r="77" spans="2:2" ht="11.25" customHeight="1" x14ac:dyDescent="0.25">
      <c r="B77" s="148"/>
    </row>
    <row r="78" spans="2:2" x14ac:dyDescent="0.25">
      <c r="B78" s="148"/>
    </row>
    <row r="79" spans="2:2" ht="11.25" customHeight="1" x14ac:dyDescent="0.25">
      <c r="B79" s="148"/>
    </row>
    <row r="80" spans="2:2" ht="11.25" customHeight="1" x14ac:dyDescent="0.25">
      <c r="B80" s="148"/>
    </row>
    <row r="81" spans="2:9" ht="11.25" customHeight="1" x14ac:dyDescent="0.25">
      <c r="B81" s="148"/>
    </row>
    <row r="82" spans="2:9" ht="11.25" customHeight="1" x14ac:dyDescent="0.25">
      <c r="B82" s="148"/>
    </row>
    <row r="83" spans="2:9" ht="11.25" customHeight="1" x14ac:dyDescent="0.25">
      <c r="B83" s="148"/>
    </row>
    <row r="84" spans="2:9" ht="11.25" customHeight="1" x14ac:dyDescent="0.25">
      <c r="B84" s="148"/>
    </row>
    <row r="85" spans="2:9" ht="6" customHeight="1" x14ac:dyDescent="0.25">
      <c r="B85" s="148"/>
    </row>
    <row r="86" spans="2:9" ht="11.25" customHeight="1" x14ac:dyDescent="0.25">
      <c r="B86" s="148"/>
    </row>
    <row r="87" spans="2:9" ht="11.25" customHeight="1" x14ac:dyDescent="0.25">
      <c r="B87" s="148"/>
    </row>
    <row r="88" spans="2:9" ht="11.25" customHeight="1" x14ac:dyDescent="0.25">
      <c r="B88" s="148"/>
    </row>
    <row r="89" spans="2:9" ht="11.25" customHeight="1" x14ac:dyDescent="0.25">
      <c r="B89" s="148"/>
    </row>
    <row r="90" spans="2:9" ht="11.25" customHeight="1" x14ac:dyDescent="0.25">
      <c r="B90" s="148"/>
    </row>
    <row r="91" spans="2:9" ht="11.25" customHeight="1" x14ac:dyDescent="0.25">
      <c r="B91" s="148"/>
    </row>
    <row r="92" spans="2:9" ht="11.25" customHeight="1" x14ac:dyDescent="0.25">
      <c r="B92" s="148"/>
    </row>
    <row r="93" spans="2:9" ht="11.25" customHeight="1" x14ac:dyDescent="0.25">
      <c r="B93" s="148"/>
    </row>
    <row r="94" spans="2:9" ht="11.25" customHeight="1" x14ac:dyDescent="0.25">
      <c r="B94" s="148"/>
    </row>
    <row r="95" spans="2:9" ht="11.25" customHeight="1" x14ac:dyDescent="0.25">
      <c r="B95" s="148"/>
    </row>
    <row r="96" spans="2:9" ht="11.25" customHeight="1" x14ac:dyDescent="0.25">
      <c r="B96" s="148"/>
      <c r="I96" s="306"/>
    </row>
    <row r="97" spans="1:8" ht="11.25" customHeight="1" x14ac:dyDescent="0.25">
      <c r="B97" s="148"/>
    </row>
    <row r="98" spans="1:8" ht="11.25" customHeight="1" x14ac:dyDescent="0.25">
      <c r="B98" s="148"/>
    </row>
    <row r="99" spans="1:8" ht="11.25" customHeight="1" x14ac:dyDescent="0.25">
      <c r="B99" s="148"/>
    </row>
    <row r="100" spans="1:8" x14ac:dyDescent="0.25">
      <c r="B100" s="148"/>
    </row>
    <row r="101" spans="1:8" x14ac:dyDescent="0.25">
      <c r="B101" s="148"/>
    </row>
    <row r="102" spans="1:8" ht="11.25" customHeight="1" x14ac:dyDescent="0.25">
      <c r="B102" s="148"/>
    </row>
    <row r="103" spans="1:8" x14ac:dyDescent="0.25">
      <c r="B103" s="148"/>
    </row>
    <row r="104" spans="1:8" x14ac:dyDescent="0.25">
      <c r="B104" s="148"/>
    </row>
    <row r="105" spans="1:8" x14ac:dyDescent="0.25">
      <c r="B105" s="148"/>
    </row>
    <row r="106" spans="1:8" x14ac:dyDescent="0.25">
      <c r="B106" s="148"/>
    </row>
    <row r="107" spans="1:8" ht="11.25" customHeight="1" x14ac:dyDescent="0.25">
      <c r="B107" s="148"/>
    </row>
    <row r="108" spans="1:8" s="307" customFormat="1" ht="11.25" customHeight="1" x14ac:dyDescent="0.25">
      <c r="A108" s="148"/>
      <c r="B108" s="148"/>
      <c r="C108" s="148"/>
      <c r="D108" s="148"/>
      <c r="E108" s="148"/>
      <c r="F108" s="148"/>
      <c r="G108" s="148"/>
      <c r="H108" s="148"/>
    </row>
    <row r="109" spans="1:8" ht="11.25" customHeight="1" x14ac:dyDescent="0.25">
      <c r="B109" s="148"/>
    </row>
    <row r="110" spans="1:8" ht="11.25" customHeight="1" x14ac:dyDescent="0.25">
      <c r="B110" s="148"/>
    </row>
    <row r="111" spans="1:8" ht="11.25" customHeight="1" x14ac:dyDescent="0.25">
      <c r="B111" s="148"/>
    </row>
    <row r="112" spans="1:8" ht="11.25" customHeight="1" x14ac:dyDescent="0.25">
      <c r="B112" s="148"/>
    </row>
    <row r="113" spans="2:2" ht="11.25" customHeight="1" x14ac:dyDescent="0.25">
      <c r="B113" s="148"/>
    </row>
    <row r="114" spans="2:2" ht="11.25" customHeight="1" x14ac:dyDescent="0.25">
      <c r="B114" s="148"/>
    </row>
    <row r="115" spans="2:2" ht="11.25" customHeight="1" x14ac:dyDescent="0.25">
      <c r="B115" s="148"/>
    </row>
    <row r="116" spans="2:2" ht="11.25" customHeight="1" x14ac:dyDescent="0.25">
      <c r="B116" s="148"/>
    </row>
    <row r="117" spans="2:2" ht="11.25" customHeight="1" x14ac:dyDescent="0.25">
      <c r="B117" s="148"/>
    </row>
    <row r="118" spans="2:2" ht="11.25" customHeight="1" x14ac:dyDescent="0.25">
      <c r="B118" s="148"/>
    </row>
    <row r="119" spans="2:2" ht="11.25" customHeight="1" x14ac:dyDescent="0.25">
      <c r="B119" s="148"/>
    </row>
    <row r="120" spans="2:2" ht="11.25" customHeight="1" x14ac:dyDescent="0.25">
      <c r="B120" s="148"/>
    </row>
    <row r="121" spans="2:2" ht="11.25" customHeight="1" x14ac:dyDescent="0.25">
      <c r="B121" s="148"/>
    </row>
    <row r="122" spans="2:2" ht="11.25" customHeight="1" x14ac:dyDescent="0.25">
      <c r="B122" s="148"/>
    </row>
    <row r="123" spans="2:2" ht="11.25" customHeight="1" x14ac:dyDescent="0.25">
      <c r="B123" s="148"/>
    </row>
    <row r="124" spans="2:2" ht="11.25" customHeight="1" x14ac:dyDescent="0.25"/>
    <row r="125" spans="2:2" ht="11.25" customHeight="1" x14ac:dyDescent="0.25"/>
    <row r="126" spans="2:2" ht="11.25" customHeight="1" x14ac:dyDescent="0.25"/>
    <row r="127" spans="2:2" ht="11.25" customHeight="1" x14ac:dyDescent="0.25"/>
    <row r="128" spans="2:2"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row r="143" ht="11.25" customHeight="1" x14ac:dyDescent="0.25"/>
    <row r="144" ht="11.25" customHeight="1" x14ac:dyDescent="0.25"/>
    <row r="145" ht="11.25" customHeight="1" x14ac:dyDescent="0.25"/>
    <row r="146" ht="11.25" customHeight="1" x14ac:dyDescent="0.25"/>
    <row r="147" ht="11.25" customHeight="1" x14ac:dyDescent="0.25"/>
  </sheetData>
  <sheetProtection sheet="1" objects="1" scenarios="1"/>
  <mergeCells count="2">
    <mergeCell ref="F2:I2"/>
    <mergeCell ref="C2:E2"/>
  </mergeCells>
  <phoneticPr fontId="4" type="noConversion"/>
  <pageMargins left="0.75" right="0.75" top="1" bottom="1" header="0.5" footer="0.5"/>
  <pageSetup scale="92"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enableFormatConditionsCalculation="0">
    <tabColor indexed="42"/>
    <pageSetUpPr fitToPage="1"/>
  </sheetPr>
  <dimension ref="A1:AH132"/>
  <sheetViews>
    <sheetView showGridLines="0" tabSelected="1" workbookViewId="0">
      <pane xSplit="3" ySplit="3" topLeftCell="M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23.5703125" style="338" customWidth="1"/>
    <col min="2" max="2" width="3" style="1928" customWidth="1"/>
    <col min="3" max="3" width="23.5703125" style="338" customWidth="1"/>
    <col min="4" max="4" width="6.5703125" style="338" bestFit="1" customWidth="1"/>
    <col min="5" max="5" width="4.42578125" style="338" customWidth="1"/>
    <col min="6" max="6" width="20.5703125" style="338" customWidth="1"/>
    <col min="7" max="8" width="23.5703125" style="338" customWidth="1"/>
    <col min="9" max="9" width="17.7109375" style="338" customWidth="1"/>
    <col min="10" max="15" width="9.28515625" style="338" customWidth="1"/>
    <col min="16" max="16" width="12.140625" style="338" customWidth="1"/>
    <col min="17" max="17" width="9.28515625" style="338" customWidth="1"/>
    <col min="18" max="18" width="9.85546875" style="148" customWidth="1"/>
    <col min="19" max="19" width="9.5703125" style="148" customWidth="1"/>
    <col min="20" max="20" width="9.85546875" style="148" customWidth="1"/>
    <col min="21" max="23" width="9.5703125" style="148" customWidth="1"/>
    <col min="24" max="24" width="9.85546875" style="148" customWidth="1"/>
    <col min="25" max="27" width="9.5703125" style="148" customWidth="1"/>
    <col min="28" max="29" width="9.85546875" style="148" customWidth="1"/>
    <col min="30" max="30" width="9.5703125" style="148" bestFit="1" customWidth="1"/>
    <col min="31" max="32" width="10.28515625" style="148" bestFit="1" customWidth="1"/>
    <col min="33" max="33" width="16.42578125" style="148" customWidth="1"/>
    <col min="34" max="16384" width="9.140625" style="148"/>
  </cols>
  <sheetData>
    <row r="1" spans="1:34" ht="13.5" customHeight="1" x14ac:dyDescent="0.25">
      <c r="A1" s="1997" t="s">
        <v>2561</v>
      </c>
      <c r="B1" s="1997"/>
      <c r="C1" s="1997"/>
      <c r="D1" s="1997"/>
      <c r="E1" s="1997"/>
      <c r="F1" s="1997"/>
      <c r="G1" s="1997"/>
      <c r="H1" s="1997"/>
      <c r="I1" s="1997"/>
      <c r="J1" s="1997"/>
      <c r="K1" s="1997"/>
      <c r="L1" s="1997"/>
      <c r="M1" s="1997"/>
      <c r="N1" s="1997"/>
      <c r="O1" s="1997"/>
      <c r="P1" s="1997"/>
      <c r="Q1" s="1997"/>
    </row>
    <row r="2" spans="1:34" ht="33.75" customHeight="1" x14ac:dyDescent="0.25">
      <c r="A2" s="786" t="s">
        <v>970</v>
      </c>
      <c r="B2" s="379" t="s">
        <v>429</v>
      </c>
      <c r="C2" s="2750" t="s">
        <v>1070</v>
      </c>
      <c r="D2" s="2750" t="s">
        <v>1367</v>
      </c>
      <c r="E2" s="2750" t="s">
        <v>2011</v>
      </c>
      <c r="F2" s="1929" t="s">
        <v>2261</v>
      </c>
      <c r="G2" s="1929" t="s">
        <v>2262</v>
      </c>
      <c r="H2" s="1929" t="s">
        <v>2263</v>
      </c>
      <c r="I2" s="1929" t="s">
        <v>2264</v>
      </c>
      <c r="J2" s="2765" t="s">
        <v>1071</v>
      </c>
      <c r="K2" s="2750" t="s">
        <v>1371</v>
      </c>
      <c r="L2" s="2748"/>
      <c r="M2" s="2697" t="s">
        <v>2482</v>
      </c>
      <c r="N2" s="2698"/>
      <c r="O2" s="2699"/>
      <c r="P2" s="2763" t="s">
        <v>1369</v>
      </c>
      <c r="Q2" s="2764"/>
    </row>
    <row r="3" spans="1:34" ht="50.25" customHeight="1" x14ac:dyDescent="0.25">
      <c r="A3" s="179" t="s">
        <v>667</v>
      </c>
      <c r="B3" s="744">
        <v>4</v>
      </c>
      <c r="C3" s="2751"/>
      <c r="D3" s="2751" t="s">
        <v>1805</v>
      </c>
      <c r="E3" s="2751"/>
      <c r="F3" s="2009">
        <v>6</v>
      </c>
      <c r="G3" s="2009">
        <v>3</v>
      </c>
      <c r="H3" s="2009">
        <v>3</v>
      </c>
      <c r="I3" s="2009">
        <v>5</v>
      </c>
      <c r="J3" s="2766"/>
      <c r="K3" s="741" t="s">
        <v>2562</v>
      </c>
      <c r="L3" s="742" t="s">
        <v>2563</v>
      </c>
      <c r="M3" s="2004" t="s">
        <v>2483</v>
      </c>
      <c r="N3" s="2009" t="s">
        <v>2484</v>
      </c>
      <c r="O3" s="354" t="s">
        <v>2485</v>
      </c>
      <c r="P3" s="807" t="s">
        <v>1370</v>
      </c>
      <c r="Q3" s="742" t="s">
        <v>1368</v>
      </c>
    </row>
    <row r="4" spans="1:34" x14ac:dyDescent="0.25">
      <c r="A4" s="759" t="s">
        <v>1495</v>
      </c>
      <c r="B4" s="760"/>
      <c r="C4" s="761"/>
      <c r="D4" s="762"/>
      <c r="E4" s="762"/>
      <c r="F4" s="762"/>
      <c r="G4" s="763"/>
      <c r="H4" s="764"/>
      <c r="I4" s="1800"/>
      <c r="J4" s="2127"/>
      <c r="K4" s="749"/>
      <c r="L4" s="750"/>
      <c r="M4" s="773"/>
      <c r="N4" s="749"/>
      <c r="O4" s="774"/>
      <c r="P4" s="2631"/>
      <c r="Q4" s="2632"/>
    </row>
    <row r="5" spans="1:34" s="625" customFormat="1" x14ac:dyDescent="0.25">
      <c r="A5" s="1149" t="s">
        <v>1069</v>
      </c>
      <c r="B5" s="876"/>
      <c r="C5" s="877"/>
      <c r="D5" s="878"/>
      <c r="E5" s="878"/>
      <c r="F5" s="878"/>
      <c r="G5" s="1150"/>
      <c r="H5" s="1151"/>
      <c r="I5" s="1801"/>
      <c r="J5" s="2633"/>
      <c r="K5" s="2634"/>
      <c r="L5" s="2635"/>
      <c r="M5" s="2636"/>
      <c r="N5" s="2634"/>
      <c r="O5" s="2637"/>
      <c r="P5" s="2638"/>
      <c r="Q5" s="2639"/>
      <c r="T5" s="148" t="s">
        <v>2415</v>
      </c>
      <c r="U5" s="148" t="s">
        <v>2427</v>
      </c>
      <c r="V5" s="148" t="s">
        <v>2428</v>
      </c>
      <c r="W5" s="148" t="s">
        <v>2429</v>
      </c>
      <c r="X5" s="148" t="s">
        <v>2430</v>
      </c>
      <c r="Y5" s="148" t="s">
        <v>2431</v>
      </c>
      <c r="Z5" s="148" t="s">
        <v>2432</v>
      </c>
      <c r="AA5" s="148" t="s">
        <v>2433</v>
      </c>
      <c r="AB5" s="148" t="s">
        <v>2416</v>
      </c>
      <c r="AC5" s="148" t="s">
        <v>711</v>
      </c>
      <c r="AD5" s="148" t="s">
        <v>2434</v>
      </c>
      <c r="AE5" s="148" t="s">
        <v>2417</v>
      </c>
      <c r="AF5" s="148" t="s">
        <v>2435</v>
      </c>
    </row>
    <row r="6" spans="1:34" ht="5.0999999999999996" customHeight="1" x14ac:dyDescent="0.25">
      <c r="A6" s="768"/>
      <c r="B6" s="318"/>
      <c r="C6" s="512"/>
      <c r="D6" s="765"/>
      <c r="E6" s="765"/>
      <c r="F6" s="765"/>
      <c r="G6" s="766"/>
      <c r="H6" s="767"/>
      <c r="I6" s="1802"/>
      <c r="J6" s="209"/>
      <c r="K6" s="205"/>
      <c r="L6" s="208"/>
      <c r="M6" s="246"/>
      <c r="N6" s="205"/>
      <c r="O6" s="256"/>
      <c r="P6" s="1774"/>
      <c r="Q6" s="1806"/>
    </row>
    <row r="7" spans="1:34" ht="12.75" customHeight="1" x14ac:dyDescent="0.25">
      <c r="A7" s="2560" t="s">
        <v>2301</v>
      </c>
      <c r="B7" s="876"/>
      <c r="C7" s="877" t="s">
        <v>2424</v>
      </c>
      <c r="D7" s="2640"/>
      <c r="E7" s="878"/>
      <c r="F7" s="1925" t="s">
        <v>428</v>
      </c>
      <c r="G7" s="2641" t="s">
        <v>969</v>
      </c>
      <c r="H7" s="2642" t="s">
        <v>293</v>
      </c>
      <c r="I7" s="2643"/>
      <c r="J7" s="1031"/>
      <c r="K7" s="1030">
        <v>674045.48</v>
      </c>
      <c r="L7" s="1067">
        <v>888000</v>
      </c>
      <c r="M7" s="1066">
        <v>50000</v>
      </c>
      <c r="N7" s="1030">
        <v>53000</v>
      </c>
      <c r="O7" s="1065">
        <v>56180</v>
      </c>
      <c r="P7" s="2644"/>
      <c r="Q7" s="2645" t="s">
        <v>2414</v>
      </c>
      <c r="R7" s="148" t="s">
        <v>947</v>
      </c>
      <c r="S7" s="148" t="s">
        <v>2426</v>
      </c>
      <c r="T7" s="1988">
        <v>0</v>
      </c>
      <c r="U7" s="1988">
        <v>0</v>
      </c>
      <c r="V7" s="1988">
        <v>0</v>
      </c>
      <c r="W7" s="1988">
        <v>0</v>
      </c>
      <c r="X7" s="1988">
        <v>0</v>
      </c>
      <c r="Y7" s="1988">
        <v>16666.666666666668</v>
      </c>
      <c r="Z7" s="1988">
        <v>16666.666666666668</v>
      </c>
      <c r="AA7" s="1988">
        <v>16666.666666666668</v>
      </c>
      <c r="AB7" s="1988"/>
      <c r="AC7" s="1988"/>
      <c r="AD7" s="1988"/>
      <c r="AE7" s="1988">
        <v>0</v>
      </c>
      <c r="AF7" s="1989">
        <v>50000</v>
      </c>
      <c r="AG7" s="148" t="s">
        <v>2377</v>
      </c>
      <c r="AH7" s="148" t="s">
        <v>2421</v>
      </c>
    </row>
    <row r="8" spans="1:34" ht="12.75" customHeight="1" x14ac:dyDescent="0.25">
      <c r="A8" s="2560" t="s">
        <v>2299</v>
      </c>
      <c r="B8" s="876"/>
      <c r="C8" s="877" t="s">
        <v>2424</v>
      </c>
      <c r="D8" s="2640"/>
      <c r="E8" s="2587"/>
      <c r="F8" s="1925" t="s">
        <v>428</v>
      </c>
      <c r="G8" s="2641" t="s">
        <v>1575</v>
      </c>
      <c r="H8" s="2642" t="s">
        <v>504</v>
      </c>
      <c r="I8" s="2643"/>
      <c r="J8" s="1031"/>
      <c r="K8" s="1030">
        <v>0</v>
      </c>
      <c r="L8" s="1067">
        <v>300000</v>
      </c>
      <c r="M8" s="1066">
        <v>1560000</v>
      </c>
      <c r="N8" s="1030">
        <v>0</v>
      </c>
      <c r="O8" s="1065">
        <v>0</v>
      </c>
      <c r="P8" s="2644"/>
      <c r="Q8" s="2645" t="s">
        <v>2414</v>
      </c>
      <c r="R8" s="148" t="s">
        <v>947</v>
      </c>
      <c r="S8" s="148" t="s">
        <v>2426</v>
      </c>
      <c r="T8" s="1988">
        <v>0</v>
      </c>
      <c r="U8" s="1988">
        <v>0</v>
      </c>
      <c r="V8" s="1988">
        <v>0</v>
      </c>
      <c r="W8" s="1988">
        <v>0</v>
      </c>
      <c r="X8" s="1988">
        <v>0</v>
      </c>
      <c r="Y8" s="1988">
        <v>390000</v>
      </c>
      <c r="Z8" s="1988">
        <v>390000</v>
      </c>
      <c r="AA8" s="1988">
        <v>390000</v>
      </c>
      <c r="AB8" s="1988">
        <v>390000</v>
      </c>
      <c r="AC8" s="1988"/>
      <c r="AD8" s="1988"/>
      <c r="AE8" s="1988">
        <v>0</v>
      </c>
      <c r="AF8" s="1989">
        <v>1560000</v>
      </c>
      <c r="AG8" s="148" t="s">
        <v>2375</v>
      </c>
      <c r="AH8" s="148" t="s">
        <v>2419</v>
      </c>
    </row>
    <row r="9" spans="1:34" ht="12.75" customHeight="1" x14ac:dyDescent="0.25">
      <c r="A9" s="2560" t="s">
        <v>2307</v>
      </c>
      <c r="B9" s="876"/>
      <c r="C9" s="877" t="s">
        <v>2424</v>
      </c>
      <c r="D9" s="2640"/>
      <c r="E9" s="2587"/>
      <c r="F9" s="1925" t="s">
        <v>428</v>
      </c>
      <c r="G9" s="2641" t="s">
        <v>537</v>
      </c>
      <c r="H9" s="2642" t="s">
        <v>538</v>
      </c>
      <c r="I9" s="2643"/>
      <c r="J9" s="1031"/>
      <c r="K9" s="1030">
        <v>1967955.18</v>
      </c>
      <c r="L9" s="1067">
        <v>2250000</v>
      </c>
      <c r="M9" s="1066">
        <v>4613700</v>
      </c>
      <c r="N9" s="1030">
        <v>7500000</v>
      </c>
      <c r="O9" s="1065">
        <v>12843000</v>
      </c>
      <c r="P9" s="2644"/>
      <c r="Q9" s="2645" t="s">
        <v>2414</v>
      </c>
      <c r="R9" s="148" t="s">
        <v>947</v>
      </c>
      <c r="S9" s="148" t="s">
        <v>2426</v>
      </c>
      <c r="T9" s="1988">
        <v>0</v>
      </c>
      <c r="U9" s="1988">
        <v>0</v>
      </c>
      <c r="V9" s="1988">
        <v>0</v>
      </c>
      <c r="W9" s="1988">
        <v>0</v>
      </c>
      <c r="X9" s="1988">
        <v>0</v>
      </c>
      <c r="Y9" s="1988">
        <v>1537900</v>
      </c>
      <c r="Z9" s="1988">
        <v>1537900</v>
      </c>
      <c r="AA9" s="1988">
        <v>1537900</v>
      </c>
      <c r="AB9" s="1988"/>
      <c r="AC9" s="1988"/>
      <c r="AD9" s="1988"/>
      <c r="AE9" s="1988">
        <v>0</v>
      </c>
      <c r="AF9" s="1989">
        <v>4613700</v>
      </c>
      <c r="AG9" s="148" t="s">
        <v>2379</v>
      </c>
      <c r="AH9" s="148" t="s">
        <v>2418</v>
      </c>
    </row>
    <row r="10" spans="1:34" ht="12.75" customHeight="1" x14ac:dyDescent="0.25">
      <c r="A10" s="2560" t="s">
        <v>2307</v>
      </c>
      <c r="B10" s="876"/>
      <c r="C10" s="877" t="s">
        <v>2424</v>
      </c>
      <c r="D10" s="2640"/>
      <c r="E10" s="2587"/>
      <c r="F10" s="1925" t="s">
        <v>428</v>
      </c>
      <c r="G10" s="2641" t="s">
        <v>537</v>
      </c>
      <c r="H10" s="2642" t="s">
        <v>539</v>
      </c>
      <c r="I10" s="2643"/>
      <c r="J10" s="1031"/>
      <c r="K10" s="1030">
        <v>0</v>
      </c>
      <c r="L10" s="1067">
        <v>2900000</v>
      </c>
      <c r="M10" s="1066">
        <v>0</v>
      </c>
      <c r="N10" s="1030">
        <v>0</v>
      </c>
      <c r="O10" s="1065">
        <v>0</v>
      </c>
      <c r="P10" s="2644"/>
      <c r="Q10" s="2645" t="s">
        <v>2414</v>
      </c>
      <c r="R10" s="148" t="s">
        <v>947</v>
      </c>
      <c r="S10" s="148" t="s">
        <v>2426</v>
      </c>
      <c r="T10" s="1988">
        <v>0</v>
      </c>
      <c r="U10" s="1988">
        <v>0</v>
      </c>
      <c r="V10" s="1988">
        <v>0</v>
      </c>
      <c r="W10" s="1988">
        <v>0</v>
      </c>
      <c r="X10" s="1988">
        <v>0</v>
      </c>
      <c r="Y10" s="1988">
        <v>0</v>
      </c>
      <c r="Z10" s="1988">
        <v>0</v>
      </c>
      <c r="AA10" s="1988"/>
      <c r="AB10" s="1988"/>
      <c r="AC10" s="1988"/>
      <c r="AD10" s="1988">
        <v>0</v>
      </c>
      <c r="AE10" s="1988">
        <v>0</v>
      </c>
      <c r="AF10" s="1989">
        <v>0</v>
      </c>
      <c r="AG10" s="148" t="s">
        <v>2379</v>
      </c>
      <c r="AH10" s="148" t="s">
        <v>2418</v>
      </c>
    </row>
    <row r="11" spans="1:34" ht="12.75" customHeight="1" x14ac:dyDescent="0.25">
      <c r="A11" s="2560" t="s">
        <v>739</v>
      </c>
      <c r="B11" s="876"/>
      <c r="C11" s="877" t="s">
        <v>2424</v>
      </c>
      <c r="D11" s="2640"/>
      <c r="E11" s="2587"/>
      <c r="F11" s="1925" t="s">
        <v>428</v>
      </c>
      <c r="G11" s="2641" t="s">
        <v>24</v>
      </c>
      <c r="H11" s="2642" t="s">
        <v>25</v>
      </c>
      <c r="I11" s="2643"/>
      <c r="J11" s="1031"/>
      <c r="K11" s="1030">
        <v>1146483.99</v>
      </c>
      <c r="L11" s="1067">
        <v>200000</v>
      </c>
      <c r="M11" s="1066">
        <v>0</v>
      </c>
      <c r="N11" s="1030">
        <v>1750000</v>
      </c>
      <c r="O11" s="1065">
        <v>0</v>
      </c>
      <c r="P11" s="2644"/>
      <c r="Q11" s="2645" t="s">
        <v>2414</v>
      </c>
      <c r="R11" s="148" t="s">
        <v>947</v>
      </c>
      <c r="S11" s="148" t="s">
        <v>2426</v>
      </c>
      <c r="T11" s="1988">
        <v>0</v>
      </c>
      <c r="U11" s="1988">
        <v>0</v>
      </c>
      <c r="V11" s="1988">
        <v>0</v>
      </c>
      <c r="W11" s="1988">
        <v>0</v>
      </c>
      <c r="X11" s="1988">
        <v>0</v>
      </c>
      <c r="Y11" s="1988">
        <v>0</v>
      </c>
      <c r="Z11" s="1988">
        <v>0</v>
      </c>
      <c r="AA11" s="1988">
        <v>0</v>
      </c>
      <c r="AB11" s="1988">
        <v>0</v>
      </c>
      <c r="AC11" s="1988">
        <v>0</v>
      </c>
      <c r="AD11" s="1988">
        <v>0</v>
      </c>
      <c r="AE11" s="1988">
        <v>0</v>
      </c>
      <c r="AF11" s="1989">
        <v>0</v>
      </c>
      <c r="AG11" s="148" t="s">
        <v>2383</v>
      </c>
      <c r="AH11" s="148" t="s">
        <v>958</v>
      </c>
    </row>
    <row r="12" spans="1:34" ht="12.75" customHeight="1" x14ac:dyDescent="0.25">
      <c r="A12" s="2560" t="s">
        <v>2314</v>
      </c>
      <c r="B12" s="876"/>
      <c r="C12" s="877" t="s">
        <v>2424</v>
      </c>
      <c r="D12" s="2640"/>
      <c r="E12" s="2587"/>
      <c r="F12" s="1925" t="s">
        <v>428</v>
      </c>
      <c r="G12" s="2641" t="s">
        <v>28</v>
      </c>
      <c r="H12" s="2642" t="s">
        <v>29</v>
      </c>
      <c r="I12" s="2643"/>
      <c r="J12" s="1031"/>
      <c r="K12" s="1030">
        <v>609688.19999999995</v>
      </c>
      <c r="L12" s="1067">
        <v>2950000</v>
      </c>
      <c r="M12" s="1066">
        <v>0</v>
      </c>
      <c r="N12" s="1030">
        <v>0</v>
      </c>
      <c r="O12" s="1065">
        <v>0</v>
      </c>
      <c r="P12" s="2644"/>
      <c r="Q12" s="2645" t="s">
        <v>2414</v>
      </c>
      <c r="R12" s="148" t="s">
        <v>947</v>
      </c>
      <c r="S12" s="148" t="s">
        <v>2426</v>
      </c>
      <c r="T12" s="1988">
        <v>0</v>
      </c>
      <c r="U12" s="1988">
        <v>0</v>
      </c>
      <c r="V12" s="1988">
        <v>0</v>
      </c>
      <c r="W12" s="1988">
        <v>0</v>
      </c>
      <c r="X12" s="1988">
        <v>0</v>
      </c>
      <c r="Y12" s="1988">
        <v>0</v>
      </c>
      <c r="Z12" s="1988">
        <v>0</v>
      </c>
      <c r="AA12" s="1988">
        <v>0</v>
      </c>
      <c r="AB12" s="1988">
        <v>0</v>
      </c>
      <c r="AC12" s="1988">
        <v>0</v>
      </c>
      <c r="AD12" s="1988">
        <v>0</v>
      </c>
      <c r="AE12" s="1988">
        <v>0</v>
      </c>
      <c r="AF12" s="1989">
        <v>0</v>
      </c>
      <c r="AG12" s="148" t="s">
        <v>2382</v>
      </c>
      <c r="AH12" s="148" t="s">
        <v>1136</v>
      </c>
    </row>
    <row r="13" spans="1:34" ht="12.75" customHeight="1" x14ac:dyDescent="0.25">
      <c r="A13" s="2560" t="s">
        <v>2315</v>
      </c>
      <c r="B13" s="876"/>
      <c r="C13" s="877" t="s">
        <v>2424</v>
      </c>
      <c r="D13" s="2640"/>
      <c r="E13" s="2587"/>
      <c r="F13" s="1925" t="s">
        <v>428</v>
      </c>
      <c r="G13" s="2641" t="s">
        <v>30</v>
      </c>
      <c r="H13" s="2642" t="s">
        <v>1295</v>
      </c>
      <c r="I13" s="2643"/>
      <c r="J13" s="1031"/>
      <c r="K13" s="1030">
        <v>0</v>
      </c>
      <c r="L13" s="1067">
        <v>0</v>
      </c>
      <c r="M13" s="1066">
        <v>5336300</v>
      </c>
      <c r="N13" s="1030">
        <v>3700000</v>
      </c>
      <c r="O13" s="1065">
        <v>0</v>
      </c>
      <c r="P13" s="2644"/>
      <c r="Q13" s="2645" t="s">
        <v>2414</v>
      </c>
      <c r="R13" s="148" t="s">
        <v>947</v>
      </c>
      <c r="S13" s="148" t="s">
        <v>2426</v>
      </c>
      <c r="T13" s="1988">
        <v>0</v>
      </c>
      <c r="U13" s="1988">
        <v>0</v>
      </c>
      <c r="V13" s="1988">
        <v>0</v>
      </c>
      <c r="W13" s="1988">
        <v>0</v>
      </c>
      <c r="X13" s="1988">
        <v>0</v>
      </c>
      <c r="Y13" s="1988">
        <v>0</v>
      </c>
      <c r="Z13" s="1988">
        <v>0</v>
      </c>
      <c r="AA13" s="1988">
        <v>1067260</v>
      </c>
      <c r="AB13" s="1988">
        <v>1067260</v>
      </c>
      <c r="AC13" s="1988">
        <v>1067260</v>
      </c>
      <c r="AD13" s="1988">
        <v>1067260</v>
      </c>
      <c r="AE13" s="1988">
        <v>1067260</v>
      </c>
      <c r="AF13" s="1989">
        <v>5336300</v>
      </c>
      <c r="AG13" s="148" t="s">
        <v>2382</v>
      </c>
      <c r="AH13" s="148" t="s">
        <v>1090</v>
      </c>
    </row>
    <row r="14" spans="1:34" ht="12.75" customHeight="1" x14ac:dyDescent="0.25">
      <c r="A14" s="2560" t="s">
        <v>654</v>
      </c>
      <c r="B14" s="876"/>
      <c r="C14" s="877" t="s">
        <v>2424</v>
      </c>
      <c r="D14" s="2640"/>
      <c r="E14" s="2587"/>
      <c r="F14" s="1925" t="s">
        <v>428</v>
      </c>
      <c r="G14" s="2641" t="s">
        <v>21</v>
      </c>
      <c r="H14" s="2642" t="s">
        <v>23</v>
      </c>
      <c r="I14" s="2643"/>
      <c r="J14" s="1031"/>
      <c r="K14" s="1030">
        <v>1304104.96</v>
      </c>
      <c r="L14" s="1067">
        <v>0</v>
      </c>
      <c r="M14" s="1066">
        <v>0</v>
      </c>
      <c r="N14" s="1030">
        <v>0</v>
      </c>
      <c r="O14" s="1065">
        <v>0</v>
      </c>
      <c r="P14" s="2644"/>
      <c r="Q14" s="2645" t="s">
        <v>2414</v>
      </c>
      <c r="R14" s="148" t="s">
        <v>947</v>
      </c>
      <c r="S14" s="148" t="s">
        <v>2426</v>
      </c>
      <c r="T14" s="1988"/>
      <c r="U14" s="1988"/>
      <c r="V14" s="1988"/>
      <c r="W14" s="1988"/>
      <c r="X14" s="1988"/>
      <c r="Y14" s="1988"/>
      <c r="Z14" s="1988"/>
      <c r="AA14" s="1988"/>
      <c r="AB14" s="1988"/>
      <c r="AC14" s="1988"/>
      <c r="AD14" s="1988"/>
      <c r="AE14" s="1988">
        <v>0</v>
      </c>
      <c r="AF14" s="1989">
        <v>0</v>
      </c>
      <c r="AG14" s="148" t="s">
        <v>2376</v>
      </c>
      <c r="AH14" s="148" t="s">
        <v>654</v>
      </c>
    </row>
    <row r="15" spans="1:34" ht="12.75" customHeight="1" x14ac:dyDescent="0.25">
      <c r="A15" s="2560" t="s">
        <v>654</v>
      </c>
      <c r="B15" s="876"/>
      <c r="C15" s="877" t="s">
        <v>2425</v>
      </c>
      <c r="D15" s="2640"/>
      <c r="E15" s="2587"/>
      <c r="F15" s="1925" t="s">
        <v>428</v>
      </c>
      <c r="G15" s="2641" t="s">
        <v>969</v>
      </c>
      <c r="H15" s="2642" t="s">
        <v>293</v>
      </c>
      <c r="I15" s="2643"/>
      <c r="J15" s="1031"/>
      <c r="K15" s="1030">
        <v>10445</v>
      </c>
      <c r="L15" s="1067">
        <v>0</v>
      </c>
      <c r="M15" s="1066">
        <v>0</v>
      </c>
      <c r="N15" s="1030">
        <v>0</v>
      </c>
      <c r="O15" s="1065">
        <v>0</v>
      </c>
      <c r="P15" s="2644"/>
      <c r="Q15" s="2645" t="s">
        <v>2414</v>
      </c>
      <c r="R15" s="148" t="s">
        <v>947</v>
      </c>
      <c r="S15" s="148" t="s">
        <v>2426</v>
      </c>
      <c r="T15" s="1988"/>
      <c r="U15" s="1988"/>
      <c r="V15" s="1988"/>
      <c r="W15" s="1988"/>
      <c r="X15" s="1988"/>
      <c r="Y15" s="1988"/>
      <c r="Z15" s="1988"/>
      <c r="AA15" s="1988"/>
      <c r="AB15" s="1988"/>
      <c r="AC15" s="1988"/>
      <c r="AD15" s="1988"/>
      <c r="AE15" s="1988">
        <v>0</v>
      </c>
      <c r="AF15" s="1989">
        <v>0</v>
      </c>
      <c r="AG15" s="148" t="s">
        <v>2376</v>
      </c>
      <c r="AH15" s="148" t="s">
        <v>654</v>
      </c>
    </row>
    <row r="16" spans="1:34" ht="12.75" customHeight="1" x14ac:dyDescent="0.25">
      <c r="A16" s="2560" t="s">
        <v>2298</v>
      </c>
      <c r="B16" s="876"/>
      <c r="C16" s="877" t="s">
        <v>2425</v>
      </c>
      <c r="D16" s="2640" t="s">
        <v>2354</v>
      </c>
      <c r="E16" s="2587"/>
      <c r="F16" s="1925" t="s">
        <v>428</v>
      </c>
      <c r="G16" s="2641" t="s">
        <v>969</v>
      </c>
      <c r="H16" s="2642" t="s">
        <v>293</v>
      </c>
      <c r="I16" s="2643"/>
      <c r="J16" s="1031"/>
      <c r="K16" s="1030">
        <v>385280.75</v>
      </c>
      <c r="L16" s="1067">
        <v>160000</v>
      </c>
      <c r="M16" s="1066">
        <v>250000</v>
      </c>
      <c r="N16" s="1030">
        <v>265000</v>
      </c>
      <c r="O16" s="1065">
        <v>280900</v>
      </c>
      <c r="P16" s="2644"/>
      <c r="Q16" s="2645" t="s">
        <v>2414</v>
      </c>
      <c r="R16" s="148" t="s">
        <v>947</v>
      </c>
      <c r="S16" s="148" t="s">
        <v>2426</v>
      </c>
      <c r="T16" s="1988">
        <v>0</v>
      </c>
      <c r="U16" s="1988">
        <v>0</v>
      </c>
      <c r="V16" s="1988">
        <v>0</v>
      </c>
      <c r="W16" s="1988">
        <v>0</v>
      </c>
      <c r="X16" s="1988">
        <v>0</v>
      </c>
      <c r="Y16" s="1988">
        <v>0</v>
      </c>
      <c r="Z16" s="1988">
        <v>83333.333333333328</v>
      </c>
      <c r="AA16" s="1988">
        <v>83333.333333333328</v>
      </c>
      <c r="AB16" s="1988">
        <v>83333.333333333328</v>
      </c>
      <c r="AC16" s="1988"/>
      <c r="AD16" s="1988"/>
      <c r="AE16" s="1988">
        <v>0</v>
      </c>
      <c r="AF16" s="1989">
        <v>250000</v>
      </c>
      <c r="AG16" s="148" t="s">
        <v>2375</v>
      </c>
      <c r="AH16" s="148" t="s">
        <v>2419</v>
      </c>
    </row>
    <row r="17" spans="1:34" ht="12.75" customHeight="1" x14ac:dyDescent="0.25">
      <c r="A17" s="2560" t="s">
        <v>2297</v>
      </c>
      <c r="B17" s="876"/>
      <c r="C17" s="877" t="s">
        <v>2425</v>
      </c>
      <c r="D17" s="2640" t="s">
        <v>2355</v>
      </c>
      <c r="E17" s="2587"/>
      <c r="F17" s="1925" t="s">
        <v>428</v>
      </c>
      <c r="G17" s="2641" t="s">
        <v>969</v>
      </c>
      <c r="H17" s="2642" t="s">
        <v>293</v>
      </c>
      <c r="I17" s="2643"/>
      <c r="J17" s="1031"/>
      <c r="K17" s="1030">
        <v>0</v>
      </c>
      <c r="L17" s="1067">
        <v>22000</v>
      </c>
      <c r="M17" s="1066">
        <v>595000</v>
      </c>
      <c r="N17" s="1030">
        <v>630700</v>
      </c>
      <c r="O17" s="1065">
        <v>668542</v>
      </c>
      <c r="P17" s="2644"/>
      <c r="Q17" s="2645" t="s">
        <v>2414</v>
      </c>
      <c r="R17" s="148" t="s">
        <v>947</v>
      </c>
      <c r="S17" s="148" t="s">
        <v>2426</v>
      </c>
      <c r="T17" s="1988"/>
      <c r="U17" s="1988"/>
      <c r="V17" s="1988"/>
      <c r="W17" s="1988"/>
      <c r="X17" s="1988"/>
      <c r="Y17" s="1988"/>
      <c r="Z17" s="1988"/>
      <c r="AA17" s="1988"/>
      <c r="AB17" s="1988"/>
      <c r="AC17" s="1988"/>
      <c r="AD17" s="1988">
        <v>297500</v>
      </c>
      <c r="AE17" s="1988">
        <v>297500</v>
      </c>
      <c r="AF17" s="1989">
        <v>595000</v>
      </c>
      <c r="AG17" s="148" t="s">
        <v>2375</v>
      </c>
      <c r="AH17" s="148" t="s">
        <v>2419</v>
      </c>
    </row>
    <row r="18" spans="1:34" ht="12.75" customHeight="1" x14ac:dyDescent="0.25">
      <c r="A18" s="2560" t="s">
        <v>2301</v>
      </c>
      <c r="B18" s="876"/>
      <c r="C18" s="877" t="s">
        <v>2425</v>
      </c>
      <c r="D18" s="2640" t="s">
        <v>2368</v>
      </c>
      <c r="E18" s="2587"/>
      <c r="F18" s="1925" t="s">
        <v>428</v>
      </c>
      <c r="G18" s="2641" t="s">
        <v>969</v>
      </c>
      <c r="H18" s="2642" t="s">
        <v>293</v>
      </c>
      <c r="I18" s="2643"/>
      <c r="J18" s="1031"/>
      <c r="K18" s="1030">
        <v>0</v>
      </c>
      <c r="L18" s="1067">
        <v>40000</v>
      </c>
      <c r="M18" s="1066">
        <v>410000</v>
      </c>
      <c r="N18" s="1030">
        <v>434600</v>
      </c>
      <c r="O18" s="1065">
        <v>460676</v>
      </c>
      <c r="P18" s="2644"/>
      <c r="Q18" s="2645" t="s">
        <v>2414</v>
      </c>
      <c r="R18" s="148" t="s">
        <v>947</v>
      </c>
      <c r="S18" s="148" t="s">
        <v>2426</v>
      </c>
      <c r="T18" s="1988">
        <v>0</v>
      </c>
      <c r="U18" s="1988">
        <v>102500</v>
      </c>
      <c r="V18" s="1988">
        <v>102500</v>
      </c>
      <c r="W18" s="1988">
        <v>102500</v>
      </c>
      <c r="X18" s="1988">
        <v>102500</v>
      </c>
      <c r="Y18" s="1988">
        <v>0</v>
      </c>
      <c r="Z18" s="1988">
        <v>0</v>
      </c>
      <c r="AA18" s="1988">
        <v>0</v>
      </c>
      <c r="AB18" s="1988">
        <v>0</v>
      </c>
      <c r="AC18" s="1988">
        <v>0</v>
      </c>
      <c r="AD18" s="1988">
        <v>0</v>
      </c>
      <c r="AE18" s="1988">
        <v>0</v>
      </c>
      <c r="AF18" s="1989">
        <v>410000</v>
      </c>
      <c r="AG18" s="148" t="s">
        <v>2377</v>
      </c>
      <c r="AH18" s="148" t="s">
        <v>2421</v>
      </c>
    </row>
    <row r="19" spans="1:34" ht="12.75" customHeight="1" x14ac:dyDescent="0.25">
      <c r="A19" s="2560" t="s">
        <v>1832</v>
      </c>
      <c r="B19" s="876"/>
      <c r="C19" s="877" t="s">
        <v>2425</v>
      </c>
      <c r="D19" s="2640" t="s">
        <v>2372</v>
      </c>
      <c r="E19" s="2587"/>
      <c r="F19" s="1925" t="s">
        <v>428</v>
      </c>
      <c r="G19" s="2641" t="s">
        <v>969</v>
      </c>
      <c r="H19" s="2642" t="s">
        <v>293</v>
      </c>
      <c r="I19" s="2643"/>
      <c r="J19" s="1031"/>
      <c r="K19" s="1030">
        <v>48769.27</v>
      </c>
      <c r="L19" s="1067">
        <v>70000</v>
      </c>
      <c r="M19" s="1066">
        <v>150000</v>
      </c>
      <c r="N19" s="1030">
        <v>159000</v>
      </c>
      <c r="O19" s="1065">
        <v>168540</v>
      </c>
      <c r="P19" s="2644"/>
      <c r="Q19" s="2645" t="s">
        <v>2414</v>
      </c>
      <c r="R19" s="148" t="s">
        <v>947</v>
      </c>
      <c r="S19" s="148" t="s">
        <v>2426</v>
      </c>
      <c r="T19" s="1988">
        <v>37500</v>
      </c>
      <c r="U19" s="1988">
        <v>37500</v>
      </c>
      <c r="V19" s="1988">
        <v>37500</v>
      </c>
      <c r="W19" s="1988">
        <v>37500</v>
      </c>
      <c r="X19" s="1988">
        <v>0</v>
      </c>
      <c r="Y19" s="1988">
        <v>0</v>
      </c>
      <c r="Z19" s="1988">
        <v>0</v>
      </c>
      <c r="AA19" s="1988">
        <v>0</v>
      </c>
      <c r="AB19" s="1988">
        <v>0</v>
      </c>
      <c r="AC19" s="1988">
        <v>0</v>
      </c>
      <c r="AD19" s="1988">
        <v>0</v>
      </c>
      <c r="AE19" s="1988">
        <v>0</v>
      </c>
      <c r="AF19" s="1989">
        <v>150000</v>
      </c>
      <c r="AG19" s="148" t="s">
        <v>2374</v>
      </c>
      <c r="AH19" s="148" t="s">
        <v>2420</v>
      </c>
    </row>
    <row r="20" spans="1:34" ht="12.75" customHeight="1" x14ac:dyDescent="0.25">
      <c r="A20" s="2646"/>
      <c r="B20" s="876"/>
      <c r="C20" s="2647"/>
      <c r="D20" s="2587"/>
      <c r="E20" s="2587"/>
      <c r="F20" s="1925"/>
      <c r="G20" s="2641"/>
      <c r="H20" s="2648"/>
      <c r="I20" s="2643"/>
      <c r="J20" s="1031"/>
      <c r="K20" s="1030"/>
      <c r="L20" s="1067"/>
      <c r="M20" s="1066">
        <v>0</v>
      </c>
      <c r="N20" s="1030">
        <v>0</v>
      </c>
      <c r="O20" s="1065">
        <v>0</v>
      </c>
      <c r="P20" s="2644"/>
      <c r="Q20" s="2645"/>
      <c r="R20" s="148" t="s">
        <v>947</v>
      </c>
      <c r="S20" s="148" t="s">
        <v>2426</v>
      </c>
      <c r="T20" s="1988">
        <v>0</v>
      </c>
      <c r="U20" s="1988">
        <v>0</v>
      </c>
      <c r="V20" s="1988">
        <v>0</v>
      </c>
      <c r="W20" s="1988">
        <v>0</v>
      </c>
      <c r="X20" s="1988">
        <v>0</v>
      </c>
      <c r="Y20" s="1988">
        <v>0</v>
      </c>
      <c r="Z20" s="1988">
        <v>0</v>
      </c>
      <c r="AA20" s="1988">
        <v>0</v>
      </c>
      <c r="AB20" s="1988">
        <v>0</v>
      </c>
      <c r="AC20" s="1988">
        <v>0</v>
      </c>
      <c r="AD20" s="1988">
        <v>0</v>
      </c>
      <c r="AE20" s="1988">
        <v>0</v>
      </c>
      <c r="AF20" s="1989">
        <v>0</v>
      </c>
    </row>
    <row r="21" spans="1:34" ht="12.75" customHeight="1" x14ac:dyDescent="0.25">
      <c r="A21" s="2646"/>
      <c r="B21" s="876"/>
      <c r="C21" s="2647"/>
      <c r="D21" s="2165"/>
      <c r="E21" s="2165"/>
      <c r="F21" s="1925"/>
      <c r="G21" s="2641"/>
      <c r="H21" s="2648"/>
      <c r="I21" s="2643"/>
      <c r="J21" s="1031"/>
      <c r="K21" s="1030"/>
      <c r="L21" s="1067"/>
      <c r="M21" s="1066"/>
      <c r="N21" s="1030"/>
      <c r="O21" s="1065"/>
      <c r="P21" s="2644"/>
      <c r="Q21" s="2645"/>
      <c r="T21" s="1988">
        <v>0</v>
      </c>
      <c r="U21" s="1988">
        <v>0</v>
      </c>
      <c r="V21" s="1988">
        <v>0</v>
      </c>
      <c r="W21" s="1988">
        <v>0</v>
      </c>
      <c r="X21" s="1988">
        <v>0</v>
      </c>
      <c r="Y21" s="1988">
        <v>0</v>
      </c>
      <c r="Z21" s="1988">
        <v>0</v>
      </c>
      <c r="AA21" s="1989">
        <v>0</v>
      </c>
      <c r="AB21" s="1989"/>
      <c r="AC21" s="1989"/>
      <c r="AD21" s="1989"/>
      <c r="AE21" s="1988">
        <v>0</v>
      </c>
      <c r="AF21" s="1989">
        <v>0</v>
      </c>
    </row>
    <row r="22" spans="1:34" x14ac:dyDescent="0.25">
      <c r="A22" s="652" t="s">
        <v>2008</v>
      </c>
      <c r="B22" s="653">
        <v>1</v>
      </c>
      <c r="C22" s="2649"/>
      <c r="D22" s="2650"/>
      <c r="E22" s="2650"/>
      <c r="F22" s="2650"/>
      <c r="G22" s="2651"/>
      <c r="H22" s="2652"/>
      <c r="I22" s="2653"/>
      <c r="J22" s="881"/>
      <c r="K22" s="881">
        <v>6146772.8300000001</v>
      </c>
      <c r="L22" s="881">
        <v>9780000</v>
      </c>
      <c r="M22" s="881">
        <v>12965000</v>
      </c>
      <c r="N22" s="654">
        <v>14492300</v>
      </c>
      <c r="O22" s="2654">
        <v>14477838</v>
      </c>
      <c r="P22" s="2655">
        <v>0</v>
      </c>
      <c r="Q22" s="2656">
        <v>0</v>
      </c>
      <c r="T22" s="1988"/>
      <c r="U22" s="1988"/>
      <c r="V22" s="1988"/>
      <c r="W22" s="1988"/>
      <c r="X22" s="1988"/>
      <c r="Y22" s="1988"/>
      <c r="Z22" s="1988"/>
      <c r="AA22" s="1990"/>
      <c r="AB22" s="1990"/>
      <c r="AC22" s="1990"/>
      <c r="AD22" s="1990"/>
      <c r="AE22" s="1990"/>
      <c r="AF22" s="1990"/>
    </row>
    <row r="23" spans="1:34" x14ac:dyDescent="0.25">
      <c r="A23" s="768"/>
      <c r="B23" s="318"/>
      <c r="C23" s="512"/>
      <c r="D23" s="765"/>
      <c r="E23" s="765"/>
      <c r="F23" s="765"/>
      <c r="G23" s="766"/>
      <c r="H23" s="767"/>
      <c r="I23" s="1802"/>
      <c r="J23" s="209"/>
      <c r="K23" s="205"/>
      <c r="L23" s="208"/>
      <c r="M23" s="246"/>
      <c r="N23" s="205"/>
      <c r="O23" s="256"/>
      <c r="P23" s="1774"/>
      <c r="Q23" s="1806"/>
      <c r="T23" s="1988">
        <v>37500</v>
      </c>
      <c r="U23" s="1988">
        <v>140000</v>
      </c>
      <c r="V23" s="1988">
        <v>140000</v>
      </c>
      <c r="W23" s="1988">
        <v>140000</v>
      </c>
      <c r="X23" s="1988">
        <v>102500</v>
      </c>
      <c r="Y23" s="1988">
        <v>1944566.6666666667</v>
      </c>
      <c r="Z23" s="1988">
        <v>2027900</v>
      </c>
      <c r="AA23" s="1988">
        <v>3095160.0000000005</v>
      </c>
      <c r="AB23" s="1988">
        <v>1540593.3333333333</v>
      </c>
      <c r="AC23" s="1988">
        <v>1067260</v>
      </c>
      <c r="AD23" s="1988">
        <v>1364760</v>
      </c>
      <c r="AE23" s="1988">
        <v>1364760</v>
      </c>
      <c r="AF23" s="1988">
        <v>12965000</v>
      </c>
    </row>
    <row r="24" spans="1:34" x14ac:dyDescent="0.25">
      <c r="A24" s="566" t="s">
        <v>16</v>
      </c>
      <c r="B24" s="318"/>
      <c r="C24" s="512"/>
      <c r="D24" s="765"/>
      <c r="E24" s="765"/>
      <c r="F24" s="765"/>
      <c r="G24" s="766"/>
      <c r="H24" s="767"/>
      <c r="I24" s="1802"/>
      <c r="J24" s="209"/>
      <c r="K24" s="205"/>
      <c r="L24" s="208"/>
      <c r="M24" s="246"/>
      <c r="N24" s="205"/>
      <c r="O24" s="256"/>
      <c r="P24" s="1774"/>
      <c r="Q24" s="1806"/>
    </row>
    <row r="25" spans="1:34" ht="11.25" customHeight="1" x14ac:dyDescent="0.25">
      <c r="A25" s="339" t="s">
        <v>1496</v>
      </c>
      <c r="B25" s="318"/>
      <c r="C25" s="512"/>
      <c r="D25" s="765"/>
      <c r="E25" s="765"/>
      <c r="F25" s="765"/>
      <c r="G25" s="766"/>
      <c r="H25" s="767"/>
      <c r="I25" s="1802"/>
      <c r="J25" s="2130"/>
      <c r="K25" s="776"/>
      <c r="L25" s="2106"/>
      <c r="M25" s="778"/>
      <c r="N25" s="776"/>
      <c r="O25" s="779"/>
      <c r="P25" s="1782"/>
      <c r="Q25" s="2657"/>
    </row>
    <row r="26" spans="1:34" ht="5.0999999999999996" customHeight="1" x14ac:dyDescent="0.25">
      <c r="A26" s="768"/>
      <c r="B26" s="318"/>
      <c r="C26" s="512"/>
      <c r="D26" s="765"/>
      <c r="E26" s="765"/>
      <c r="F26" s="765"/>
      <c r="G26" s="766"/>
      <c r="H26" s="767"/>
      <c r="I26" s="1802"/>
      <c r="J26" s="209"/>
      <c r="K26" s="205"/>
      <c r="L26" s="208"/>
      <c r="M26" s="246"/>
      <c r="N26" s="205"/>
      <c r="O26" s="256"/>
      <c r="P26" s="1774"/>
      <c r="Q26" s="1806"/>
    </row>
    <row r="27" spans="1:34" ht="11.25" customHeight="1" x14ac:dyDescent="0.25">
      <c r="A27" s="2658" t="s">
        <v>1497</v>
      </c>
      <c r="B27" s="876"/>
      <c r="C27" s="877"/>
      <c r="D27" s="878"/>
      <c r="E27" s="878"/>
      <c r="F27" s="1925"/>
      <c r="G27" s="2641"/>
      <c r="H27" s="2648"/>
      <c r="I27" s="2643"/>
      <c r="J27" s="1031"/>
      <c r="K27" s="1030">
        <v>1304104.96</v>
      </c>
      <c r="L27" s="1067"/>
      <c r="M27" s="1066"/>
      <c r="N27" s="1030"/>
      <c r="O27" s="1065"/>
      <c r="P27" s="2644"/>
      <c r="Q27" s="2645"/>
    </row>
    <row r="28" spans="1:34" ht="11.25" customHeight="1" x14ac:dyDescent="0.25">
      <c r="A28" s="2477" t="s">
        <v>1498</v>
      </c>
      <c r="B28" s="876"/>
      <c r="C28" s="2647"/>
      <c r="D28" s="2587"/>
      <c r="E28" s="2587"/>
      <c r="F28" s="1925"/>
      <c r="G28" s="2641"/>
      <c r="H28" s="2648"/>
      <c r="I28" s="2643"/>
      <c r="J28" s="1031"/>
      <c r="K28" s="1030"/>
      <c r="L28" s="1067"/>
      <c r="M28" s="1066"/>
      <c r="N28" s="1030"/>
      <c r="O28" s="1065"/>
      <c r="P28" s="2644"/>
      <c r="Q28" s="2645"/>
    </row>
    <row r="29" spans="1:34" ht="5.0999999999999996" customHeight="1" x14ac:dyDescent="0.25">
      <c r="A29" s="2646"/>
      <c r="B29" s="876"/>
      <c r="C29" s="2647"/>
      <c r="D29" s="2587"/>
      <c r="E29" s="2587"/>
      <c r="F29" s="1925"/>
      <c r="G29" s="2641"/>
      <c r="H29" s="2648"/>
      <c r="I29" s="2643"/>
      <c r="J29" s="1031"/>
      <c r="K29" s="1030"/>
      <c r="L29" s="1067"/>
      <c r="M29" s="1066"/>
      <c r="N29" s="1030"/>
      <c r="O29" s="1065"/>
      <c r="P29" s="2644"/>
      <c r="Q29" s="2645"/>
    </row>
    <row r="30" spans="1:34" ht="11.25" customHeight="1" x14ac:dyDescent="0.25">
      <c r="A30" s="2658" t="s">
        <v>1499</v>
      </c>
      <c r="B30" s="876"/>
      <c r="C30" s="2647"/>
      <c r="D30" s="2587"/>
      <c r="E30" s="2587"/>
      <c r="F30" s="1925"/>
      <c r="G30" s="2641"/>
      <c r="H30" s="2648"/>
      <c r="I30" s="2643"/>
      <c r="J30" s="1031"/>
      <c r="K30" s="1030"/>
      <c r="L30" s="1067"/>
      <c r="M30" s="1066"/>
      <c r="N30" s="1030"/>
      <c r="O30" s="1065"/>
      <c r="P30" s="2644"/>
      <c r="Q30" s="2645"/>
    </row>
    <row r="31" spans="1:34" ht="11.25" customHeight="1" x14ac:dyDescent="0.25">
      <c r="A31" s="2477" t="s">
        <v>1500</v>
      </c>
      <c r="B31" s="876"/>
      <c r="C31" s="2647"/>
      <c r="D31" s="2587"/>
      <c r="E31" s="2587"/>
      <c r="F31" s="1925"/>
      <c r="G31" s="2641"/>
      <c r="H31" s="2648"/>
      <c r="I31" s="2643"/>
      <c r="J31" s="1031"/>
      <c r="K31" s="1030"/>
      <c r="L31" s="1067"/>
      <c r="M31" s="1066"/>
      <c r="N31" s="1030"/>
      <c r="O31" s="1065"/>
      <c r="P31" s="2644"/>
      <c r="Q31" s="2645"/>
    </row>
    <row r="32" spans="1:34" ht="11.25" customHeight="1" x14ac:dyDescent="0.25">
      <c r="A32" s="2477"/>
      <c r="B32" s="876"/>
      <c r="C32" s="2647"/>
      <c r="D32" s="2587"/>
      <c r="E32" s="2587"/>
      <c r="F32" s="1925"/>
      <c r="G32" s="2641"/>
      <c r="H32" s="2648"/>
      <c r="I32" s="2643"/>
      <c r="J32" s="1031"/>
      <c r="K32" s="1030"/>
      <c r="L32" s="1067"/>
      <c r="M32" s="1066"/>
      <c r="N32" s="1030"/>
      <c r="O32" s="1065"/>
      <c r="P32" s="2644"/>
      <c r="Q32" s="2645"/>
    </row>
    <row r="33" spans="1:17" ht="11.25" customHeight="1" x14ac:dyDescent="0.25">
      <c r="A33" s="2477"/>
      <c r="B33" s="876"/>
      <c r="C33" s="2647"/>
      <c r="D33" s="2165"/>
      <c r="E33" s="2165"/>
      <c r="F33" s="1925"/>
      <c r="G33" s="2641"/>
      <c r="H33" s="2648"/>
      <c r="I33" s="2643"/>
      <c r="J33" s="1031"/>
      <c r="K33" s="1030"/>
      <c r="L33" s="1067"/>
      <c r="M33" s="1066"/>
      <c r="N33" s="1030"/>
      <c r="O33" s="1065"/>
      <c r="P33" s="2644"/>
      <c r="Q33" s="2645"/>
    </row>
    <row r="34" spans="1:17" ht="11.25" customHeight="1" x14ac:dyDescent="0.25">
      <c r="A34" s="2646"/>
      <c r="B34" s="876"/>
      <c r="C34" s="2647"/>
      <c r="D34" s="2165"/>
      <c r="E34" s="2165"/>
      <c r="F34" s="1925"/>
      <c r="G34" s="2641"/>
      <c r="H34" s="2648"/>
      <c r="I34" s="2643"/>
      <c r="J34" s="1031"/>
      <c r="K34" s="1030"/>
      <c r="L34" s="1067"/>
      <c r="M34" s="1066"/>
      <c r="N34" s="1030"/>
      <c r="O34" s="1065"/>
      <c r="P34" s="2644"/>
      <c r="Q34" s="2645"/>
    </row>
    <row r="35" spans="1:17" x14ac:dyDescent="0.25">
      <c r="A35" s="2651" t="s">
        <v>2007</v>
      </c>
      <c r="B35" s="653"/>
      <c r="C35" s="2659"/>
      <c r="D35" s="2660"/>
      <c r="E35" s="2661"/>
      <c r="F35" s="2661"/>
      <c r="G35" s="2661"/>
      <c r="H35" s="2661"/>
      <c r="I35" s="2656"/>
      <c r="J35" s="881"/>
      <c r="K35" s="654">
        <v>1304104.96</v>
      </c>
      <c r="L35" s="2654">
        <v>0</v>
      </c>
      <c r="M35" s="881">
        <v>0</v>
      </c>
      <c r="N35" s="654">
        <v>0</v>
      </c>
      <c r="O35" s="2654">
        <v>0</v>
      </c>
      <c r="P35" s="2662"/>
      <c r="Q35" s="2663"/>
    </row>
    <row r="36" spans="1:17" x14ac:dyDescent="0.25">
      <c r="A36" s="2651" t="s">
        <v>928</v>
      </c>
      <c r="B36" s="653"/>
      <c r="C36" s="2659"/>
      <c r="D36" s="2660"/>
      <c r="E36" s="2661"/>
      <c r="F36" s="2661"/>
      <c r="G36" s="2661"/>
      <c r="H36" s="2661"/>
      <c r="I36" s="2656"/>
      <c r="J36" s="2664"/>
      <c r="K36" s="224">
        <v>7450877.79</v>
      </c>
      <c r="L36" s="660">
        <v>9780000</v>
      </c>
      <c r="M36" s="322">
        <v>12965000</v>
      </c>
      <c r="N36" s="224">
        <v>14492300</v>
      </c>
      <c r="O36" s="660">
        <v>14477838</v>
      </c>
      <c r="P36" s="2192"/>
      <c r="Q36" s="234"/>
    </row>
    <row r="37" spans="1:17" s="625" customFormat="1" ht="11.25" customHeight="1" x14ac:dyDescent="0.25">
      <c r="A37" s="2223" t="s">
        <v>986</v>
      </c>
      <c r="B37" s="873"/>
      <c r="C37" s="851"/>
      <c r="D37" s="873"/>
      <c r="E37" s="873"/>
      <c r="F37" s="873"/>
      <c r="G37" s="873"/>
      <c r="H37" s="873"/>
      <c r="I37" s="873"/>
      <c r="J37" s="873"/>
      <c r="K37" s="873"/>
      <c r="L37" s="873"/>
      <c r="M37" s="873"/>
      <c r="N37" s="873"/>
      <c r="O37" s="873"/>
      <c r="P37" s="873"/>
      <c r="Q37" s="873"/>
    </row>
    <row r="38" spans="1:17" s="625" customFormat="1" ht="11.25" customHeight="1" x14ac:dyDescent="0.25">
      <c r="A38" s="931" t="s">
        <v>1555</v>
      </c>
      <c r="B38" s="873"/>
      <c r="C38" s="873"/>
      <c r="D38" s="873"/>
      <c r="E38" s="873"/>
      <c r="F38" s="873"/>
      <c r="G38" s="873"/>
      <c r="H38" s="873"/>
      <c r="I38" s="873"/>
      <c r="J38" s="873"/>
      <c r="K38" s="873"/>
      <c r="L38" s="873"/>
      <c r="M38" s="873"/>
      <c r="N38" s="873"/>
      <c r="O38" s="873"/>
      <c r="P38" s="873"/>
      <c r="Q38" s="873"/>
    </row>
    <row r="39" spans="1:17" s="625" customFormat="1" ht="11.25" customHeight="1" x14ac:dyDescent="0.25">
      <c r="A39" s="931" t="s">
        <v>2268</v>
      </c>
      <c r="B39" s="873"/>
      <c r="C39" s="873"/>
      <c r="D39" s="873"/>
      <c r="E39" s="873"/>
      <c r="F39" s="873"/>
      <c r="G39" s="873"/>
      <c r="H39" s="873"/>
      <c r="I39" s="873"/>
      <c r="J39" s="873"/>
      <c r="K39" s="873"/>
      <c r="L39" s="873"/>
      <c r="M39" s="873"/>
      <c r="N39" s="873"/>
      <c r="O39" s="873"/>
      <c r="P39" s="873"/>
      <c r="Q39" s="873"/>
    </row>
    <row r="40" spans="1:17" s="625" customFormat="1" ht="11.25" customHeight="1" x14ac:dyDescent="0.25">
      <c r="A40" s="931" t="s">
        <v>2009</v>
      </c>
      <c r="B40" s="873"/>
      <c r="C40" s="873"/>
      <c r="D40" s="873"/>
      <c r="E40" s="873"/>
      <c r="F40" s="873"/>
      <c r="G40" s="873"/>
      <c r="H40" s="873"/>
      <c r="I40" s="873"/>
      <c r="J40" s="873"/>
      <c r="K40" s="873"/>
      <c r="L40" s="873"/>
      <c r="M40" s="873"/>
      <c r="N40" s="873"/>
      <c r="O40" s="873"/>
      <c r="P40" s="873"/>
      <c r="Q40" s="873"/>
    </row>
    <row r="41" spans="1:17" s="625" customFormat="1" ht="11.25" customHeight="1" x14ac:dyDescent="0.25">
      <c r="A41" s="338" t="s">
        <v>2010</v>
      </c>
      <c r="B41" s="873"/>
      <c r="C41" s="873"/>
      <c r="D41" s="873"/>
      <c r="E41" s="873"/>
      <c r="F41" s="873"/>
      <c r="G41" s="873"/>
      <c r="H41" s="873"/>
      <c r="I41" s="873"/>
      <c r="J41" s="873"/>
      <c r="K41" s="873"/>
      <c r="L41" s="873"/>
      <c r="M41" s="873"/>
      <c r="N41" s="873"/>
      <c r="O41" s="873"/>
      <c r="P41" s="873"/>
      <c r="Q41" s="873"/>
    </row>
    <row r="42" spans="1:17" ht="11.25" customHeight="1" x14ac:dyDescent="0.25">
      <c r="A42" s="338" t="s">
        <v>2078</v>
      </c>
      <c r="B42" s="338"/>
    </row>
    <row r="43" spans="1:17" x14ac:dyDescent="0.25">
      <c r="A43" s="338" t="s">
        <v>2265</v>
      </c>
      <c r="B43" s="338"/>
      <c r="J43" s="338" t="s">
        <v>550</v>
      </c>
      <c r="K43" s="1916">
        <v>-1304104.96</v>
      </c>
    </row>
    <row r="44" spans="1:17" ht="11.25" customHeight="1" x14ac:dyDescent="0.25">
      <c r="B44" s="338"/>
    </row>
    <row r="45" spans="1:17" ht="11.25" customHeight="1" x14ac:dyDescent="0.25">
      <c r="B45" s="338"/>
    </row>
    <row r="46" spans="1:17" ht="11.25" customHeight="1" x14ac:dyDescent="0.25">
      <c r="B46" s="338"/>
    </row>
    <row r="47" spans="1:17" ht="11.25" customHeight="1" x14ac:dyDescent="0.25">
      <c r="B47" s="338"/>
    </row>
    <row r="48" spans="1:17" ht="11.25" customHeight="1" x14ac:dyDescent="0.25">
      <c r="B48" s="338"/>
    </row>
    <row r="49" spans="2:2" ht="11.25" customHeight="1" x14ac:dyDescent="0.25">
      <c r="B49" s="338"/>
    </row>
    <row r="50" spans="2:2" ht="11.25" customHeight="1" x14ac:dyDescent="0.25">
      <c r="B50" s="338"/>
    </row>
    <row r="51" spans="2:2" ht="11.25" customHeight="1" x14ac:dyDescent="0.25">
      <c r="B51" s="338"/>
    </row>
    <row r="52" spans="2:2" ht="11.25" customHeight="1" x14ac:dyDescent="0.25">
      <c r="B52" s="338"/>
    </row>
    <row r="53" spans="2:2" ht="11.25" customHeight="1" x14ac:dyDescent="0.25">
      <c r="B53" s="338"/>
    </row>
    <row r="54" spans="2:2" ht="11.25" customHeight="1" x14ac:dyDescent="0.25">
      <c r="B54" s="338"/>
    </row>
    <row r="55" spans="2:2" ht="11.25" customHeight="1" x14ac:dyDescent="0.25">
      <c r="B55" s="338"/>
    </row>
    <row r="56" spans="2:2" ht="11.25" customHeight="1" x14ac:dyDescent="0.25">
      <c r="B56" s="338"/>
    </row>
    <row r="57" spans="2:2" ht="11.25" customHeight="1" x14ac:dyDescent="0.25">
      <c r="B57" s="338"/>
    </row>
    <row r="58" spans="2:2" ht="11.25" customHeight="1" x14ac:dyDescent="0.25">
      <c r="B58" s="338"/>
    </row>
    <row r="59" spans="2:2" ht="11.25" customHeight="1" x14ac:dyDescent="0.25">
      <c r="B59" s="338"/>
    </row>
    <row r="60" spans="2:2" ht="11.25" customHeight="1" x14ac:dyDescent="0.25">
      <c r="B60" s="338"/>
    </row>
    <row r="61" spans="2:2" ht="11.25" customHeight="1" x14ac:dyDescent="0.25">
      <c r="B61" s="338"/>
    </row>
    <row r="62" spans="2:2" ht="11.25" customHeight="1" x14ac:dyDescent="0.25">
      <c r="B62" s="338"/>
    </row>
    <row r="63" spans="2:2" ht="11.25" customHeight="1" x14ac:dyDescent="0.25">
      <c r="B63" s="338"/>
    </row>
    <row r="64" spans="2:2" ht="11.25" customHeight="1" x14ac:dyDescent="0.25">
      <c r="B64" s="338"/>
    </row>
    <row r="65" spans="2:2" ht="11.25" customHeight="1" x14ac:dyDescent="0.25">
      <c r="B65" s="338"/>
    </row>
    <row r="66" spans="2:2" ht="11.25" customHeight="1" x14ac:dyDescent="0.25">
      <c r="B66" s="338"/>
    </row>
    <row r="67" spans="2:2" x14ac:dyDescent="0.25">
      <c r="B67" s="338"/>
    </row>
    <row r="68" spans="2:2" x14ac:dyDescent="0.25">
      <c r="B68" s="338"/>
    </row>
    <row r="69" spans="2:2" ht="11.25" customHeight="1" x14ac:dyDescent="0.25">
      <c r="B69" s="338"/>
    </row>
    <row r="70" spans="2:2" ht="22.5" customHeight="1" x14ac:dyDescent="0.25">
      <c r="B70" s="338"/>
    </row>
    <row r="71" spans="2:2" x14ac:dyDescent="0.25">
      <c r="B71" s="338"/>
    </row>
    <row r="72" spans="2:2" x14ac:dyDescent="0.25">
      <c r="B72" s="338"/>
    </row>
    <row r="73" spans="2:2" ht="11.25" customHeight="1" x14ac:dyDescent="0.25">
      <c r="B73" s="338"/>
    </row>
    <row r="74" spans="2:2" ht="11.25" customHeight="1" x14ac:dyDescent="0.25">
      <c r="B74" s="338"/>
    </row>
    <row r="75" spans="2:2" ht="11.25" customHeight="1" x14ac:dyDescent="0.25">
      <c r="B75" s="338"/>
    </row>
    <row r="76" spans="2:2" ht="11.25" customHeight="1" x14ac:dyDescent="0.25">
      <c r="B76" s="338"/>
    </row>
    <row r="77" spans="2:2" ht="11.25" customHeight="1" x14ac:dyDescent="0.25">
      <c r="B77" s="338"/>
    </row>
    <row r="78" spans="2:2" ht="11.25" customHeight="1" x14ac:dyDescent="0.25">
      <c r="B78" s="338"/>
    </row>
    <row r="79" spans="2:2" ht="11.25" customHeight="1" x14ac:dyDescent="0.25">
      <c r="B79" s="338"/>
    </row>
    <row r="80" spans="2:2" ht="11.25" customHeight="1" x14ac:dyDescent="0.25">
      <c r="B80" s="338"/>
    </row>
    <row r="81" spans="2:2" ht="11.25" customHeight="1" x14ac:dyDescent="0.25">
      <c r="B81" s="338"/>
    </row>
    <row r="82" spans="2:2" ht="11.25" customHeight="1" x14ac:dyDescent="0.25">
      <c r="B82" s="338"/>
    </row>
    <row r="83" spans="2:2" ht="11.25" customHeight="1" x14ac:dyDescent="0.25">
      <c r="B83" s="338"/>
    </row>
    <row r="84" spans="2:2" ht="11.25" customHeight="1" x14ac:dyDescent="0.25">
      <c r="B84" s="338"/>
    </row>
    <row r="85" spans="2:2" ht="11.25" customHeight="1" x14ac:dyDescent="0.25">
      <c r="B85" s="338"/>
    </row>
    <row r="86" spans="2:2" ht="11.25" customHeight="1" x14ac:dyDescent="0.25">
      <c r="B86" s="338"/>
    </row>
    <row r="87" spans="2:2" ht="11.25" customHeight="1" x14ac:dyDescent="0.25">
      <c r="B87" s="338"/>
    </row>
    <row r="88" spans="2:2" ht="11.25" customHeight="1" x14ac:dyDescent="0.25">
      <c r="B88" s="338"/>
    </row>
    <row r="89" spans="2:2" ht="11.25" customHeight="1" x14ac:dyDescent="0.25">
      <c r="B89" s="338"/>
    </row>
    <row r="90" spans="2:2" ht="11.25" customHeight="1" x14ac:dyDescent="0.25">
      <c r="B90" s="338"/>
    </row>
    <row r="91" spans="2:2" ht="11.25" customHeight="1" x14ac:dyDescent="0.25">
      <c r="B91" s="338"/>
    </row>
    <row r="92" spans="2:2" ht="11.25" customHeight="1" x14ac:dyDescent="0.25">
      <c r="B92" s="338"/>
    </row>
    <row r="93" spans="2:2" ht="11.25" customHeight="1" x14ac:dyDescent="0.25">
      <c r="B93" s="338"/>
    </row>
    <row r="94" spans="2:2" ht="11.25" customHeight="1" x14ac:dyDescent="0.25">
      <c r="B94" s="338"/>
    </row>
    <row r="95" spans="2:2" ht="11.25" customHeight="1" x14ac:dyDescent="0.25">
      <c r="B95" s="338"/>
    </row>
    <row r="96" spans="2:2" ht="11.25" customHeight="1" x14ac:dyDescent="0.25">
      <c r="B96" s="338"/>
    </row>
    <row r="97" spans="2:2" ht="11.25" customHeight="1" x14ac:dyDescent="0.25">
      <c r="B97" s="338"/>
    </row>
    <row r="98" spans="2:2" ht="11.25" customHeight="1" x14ac:dyDescent="0.25">
      <c r="B98" s="338"/>
    </row>
    <row r="99" spans="2:2" ht="11.25" customHeight="1" x14ac:dyDescent="0.25">
      <c r="B99" s="338"/>
    </row>
    <row r="100" spans="2:2" ht="11.25" customHeight="1" x14ac:dyDescent="0.25">
      <c r="B100" s="338"/>
    </row>
    <row r="101" spans="2:2" ht="11.25" customHeight="1" x14ac:dyDescent="0.25">
      <c r="B101" s="338"/>
    </row>
    <row r="102" spans="2:2" ht="11.25" customHeight="1" x14ac:dyDescent="0.25">
      <c r="B102" s="338"/>
    </row>
    <row r="103" spans="2:2" ht="11.25" customHeight="1" x14ac:dyDescent="0.25">
      <c r="B103" s="338"/>
    </row>
    <row r="104" spans="2:2" ht="11.25" customHeight="1" x14ac:dyDescent="0.25">
      <c r="B104" s="338"/>
    </row>
    <row r="105" spans="2:2" ht="11.25" customHeight="1" x14ac:dyDescent="0.25">
      <c r="B105" s="338"/>
    </row>
    <row r="106" spans="2:2" ht="11.25" customHeight="1" x14ac:dyDescent="0.25">
      <c r="B106" s="338"/>
    </row>
    <row r="107" spans="2:2" ht="11.25" customHeight="1" x14ac:dyDescent="0.25">
      <c r="B107" s="338"/>
    </row>
    <row r="108" spans="2:2" ht="11.25" customHeight="1" x14ac:dyDescent="0.25">
      <c r="B108" s="338"/>
    </row>
    <row r="109" spans="2:2" ht="11.25" customHeight="1" x14ac:dyDescent="0.25">
      <c r="B109" s="338"/>
    </row>
    <row r="110" spans="2:2" x14ac:dyDescent="0.25">
      <c r="B110" s="338"/>
    </row>
    <row r="111" spans="2:2" x14ac:dyDescent="0.25">
      <c r="B111" s="338"/>
    </row>
    <row r="112" spans="2:2" x14ac:dyDescent="0.25">
      <c r="B112" s="338"/>
    </row>
    <row r="113" spans="2:2" x14ac:dyDescent="0.25">
      <c r="B113" s="338"/>
    </row>
    <row r="114" spans="2:2" x14ac:dyDescent="0.25">
      <c r="B114" s="338"/>
    </row>
    <row r="115" spans="2:2" x14ac:dyDescent="0.25">
      <c r="B115" s="338"/>
    </row>
    <row r="116" spans="2:2" x14ac:dyDescent="0.25">
      <c r="B116" s="338"/>
    </row>
    <row r="117" spans="2:2" x14ac:dyDescent="0.25">
      <c r="B117" s="338"/>
    </row>
    <row r="118" spans="2:2" x14ac:dyDescent="0.25">
      <c r="B118" s="338"/>
    </row>
    <row r="119" spans="2:2" x14ac:dyDescent="0.25">
      <c r="B119" s="338"/>
    </row>
    <row r="120" spans="2:2" x14ac:dyDescent="0.25">
      <c r="B120" s="338"/>
    </row>
    <row r="121" spans="2:2" x14ac:dyDescent="0.25">
      <c r="B121" s="338"/>
    </row>
    <row r="122" spans="2:2" x14ac:dyDescent="0.25">
      <c r="B122" s="338"/>
    </row>
    <row r="123" spans="2:2" x14ac:dyDescent="0.25">
      <c r="B123" s="338"/>
    </row>
    <row r="124" spans="2:2" x14ac:dyDescent="0.25">
      <c r="B124" s="338"/>
    </row>
    <row r="125" spans="2:2" x14ac:dyDescent="0.25">
      <c r="B125" s="338"/>
    </row>
    <row r="126" spans="2:2" x14ac:dyDescent="0.25">
      <c r="B126" s="338"/>
    </row>
    <row r="127" spans="2:2" x14ac:dyDescent="0.25">
      <c r="B127" s="338"/>
    </row>
    <row r="128" spans="2:2" x14ac:dyDescent="0.25">
      <c r="B128" s="338"/>
    </row>
    <row r="129" spans="2:2" x14ac:dyDescent="0.25">
      <c r="B129" s="338"/>
    </row>
    <row r="130" spans="2:2" x14ac:dyDescent="0.25">
      <c r="B130" s="338"/>
    </row>
    <row r="131" spans="2:2" x14ac:dyDescent="0.25">
      <c r="B131" s="338"/>
    </row>
    <row r="132" spans="2:2" x14ac:dyDescent="0.25">
      <c r="B132" s="338"/>
    </row>
  </sheetData>
  <mergeCells count="7">
    <mergeCell ref="P2:Q2"/>
    <mergeCell ref="C2:C3"/>
    <mergeCell ref="D2:D3"/>
    <mergeCell ref="E2:E3"/>
    <mergeCell ref="K2:L2"/>
    <mergeCell ref="J2:J3"/>
    <mergeCell ref="M2:O2"/>
  </mergeCells>
  <phoneticPr fontId="4" type="noConversion"/>
  <dataValidations xWindow="526" yWindow="412" count="3">
    <dataValidation type="list" allowBlank="1" showInputMessage="1" showErrorMessage="1" promptTitle="Select Asset Class" prompt="Select asset class from list" sqref="G27:G34 G7:G21">
      <formula1>Asset_Class</formula1>
    </dataValidation>
    <dataValidation type="list" allowBlank="1" showInputMessage="1" showErrorMessage="1" promptTitle="Select Asset Sub-Class" prompt="Select asset sub class from list" sqref="H27:H34 H7:H21">
      <formula1>Asset_sub_class</formula1>
    </dataValidation>
    <dataValidation type="list" allowBlank="1" showInputMessage="1" showErrorMessage="1" promptTitle="Yes/No" prompt="Please select" sqref="F27:F34 F7:F21">
      <formula1>List1</formula1>
    </dataValidation>
  </dataValidations>
  <pageMargins left="0.75" right="0.75" top="1" bottom="1" header="0.5" footer="0.5"/>
  <pageSetup scale="4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4"/>
    <pageSetUpPr fitToPage="1"/>
  </sheetPr>
  <dimension ref="A1:Y1528"/>
  <sheetViews>
    <sheetView showGridLines="0" tabSelected="1" topLeftCell="A65" workbookViewId="0">
      <selection activeCell="I39" sqref="I39"/>
    </sheetView>
  </sheetViews>
  <sheetFormatPr defaultRowHeight="12.75" x14ac:dyDescent="0.2"/>
  <cols>
    <col min="1" max="1" width="20.7109375" style="1710" customWidth="1"/>
    <col min="2" max="2" width="40.7109375" style="1710" customWidth="1"/>
    <col min="3" max="3" width="20.7109375" style="1710" customWidth="1"/>
    <col min="4" max="4" width="40.7109375" style="1710" customWidth="1"/>
    <col min="5" max="5" width="8.85546875" style="1158" customWidth="1"/>
    <col min="6" max="10" width="8.7109375" style="1159" customWidth="1"/>
    <col min="11" max="15" width="12.85546875" style="1159" customWidth="1"/>
    <col min="16" max="17" width="30.7109375" style="1159" customWidth="1"/>
    <col min="18" max="16384" width="9.140625" style="1160"/>
  </cols>
  <sheetData>
    <row r="1" spans="1:17" ht="13.5" customHeight="1" x14ac:dyDescent="0.3">
      <c r="A1" s="1157" t="str">
        <f>muni&amp;" - "&amp;" Contact Information"</f>
        <v>NC071 Ubuntu -  Contact Information</v>
      </c>
      <c r="B1" s="1709"/>
    </row>
    <row r="2" spans="1:17" ht="13.5" customHeight="1" x14ac:dyDescent="0.2">
      <c r="A2" s="1711"/>
      <c r="B2" s="1712"/>
      <c r="C2" s="1711"/>
      <c r="D2" s="1711"/>
    </row>
    <row r="3" spans="1:17" ht="13.5" customHeight="1" thickBot="1" x14ac:dyDescent="0.3">
      <c r="A3" s="1713" t="s">
        <v>1033</v>
      </c>
      <c r="B3" s="1714"/>
      <c r="C3" s="1711"/>
      <c r="D3" s="1711"/>
    </row>
    <row r="4" spans="1:17" ht="13.5" customHeight="1" thickTop="1" x14ac:dyDescent="0.2">
      <c r="A4" s="1715" t="s">
        <v>1034</v>
      </c>
      <c r="B4" s="1716" t="str">
        <f>muni</f>
        <v>NC071 Ubuntu</v>
      </c>
      <c r="C4" s="1717" t="str">
        <f>IF(B4="Choose name from List","Set name on 'Instructions' sheet", "")</f>
        <v/>
      </c>
      <c r="D4" s="1718"/>
      <c r="F4" s="1162"/>
      <c r="G4" s="1162"/>
      <c r="H4" s="1162"/>
      <c r="I4" s="1163"/>
      <c r="J4" s="1162"/>
      <c r="K4" s="1164"/>
      <c r="L4" s="1164"/>
      <c r="M4" s="1164"/>
      <c r="N4" s="1164"/>
      <c r="O4" s="1164"/>
      <c r="P4" s="1244"/>
      <c r="Q4" s="1166"/>
    </row>
    <row r="5" spans="1:17" ht="13.5" customHeight="1" x14ac:dyDescent="0.2">
      <c r="A5" s="1719"/>
      <c r="B5" s="1720"/>
      <c r="C5" s="1718"/>
      <c r="D5" s="1718"/>
      <c r="F5" s="1162"/>
      <c r="G5" s="1162"/>
      <c r="H5" s="1162"/>
      <c r="I5" s="1163"/>
      <c r="J5" s="1162"/>
      <c r="K5" s="1164"/>
      <c r="L5" s="1164"/>
      <c r="M5" s="1164"/>
      <c r="N5" s="1164"/>
      <c r="O5" s="1164"/>
      <c r="P5" s="1244"/>
      <c r="Q5" s="1168"/>
    </row>
    <row r="6" spans="1:17" s="1169" customFormat="1" ht="13.5" customHeight="1" x14ac:dyDescent="0.25">
      <c r="A6" s="1721" t="s">
        <v>118</v>
      </c>
      <c r="B6" s="1722">
        <v>2</v>
      </c>
      <c r="C6" s="1723" t="s">
        <v>119</v>
      </c>
      <c r="D6" s="1724"/>
      <c r="E6" s="1167"/>
      <c r="F6" s="1162"/>
      <c r="G6" s="1162"/>
      <c r="H6" s="1163"/>
      <c r="I6" s="1163"/>
      <c r="J6" s="1162"/>
      <c r="K6" s="1164"/>
      <c r="L6" s="1164"/>
      <c r="M6" s="1164"/>
      <c r="N6" s="1164"/>
      <c r="O6" s="1164"/>
      <c r="P6" s="1244"/>
      <c r="Q6" s="1166"/>
    </row>
    <row r="7" spans="1:17" s="1169" customFormat="1" ht="13.5" customHeight="1" x14ac:dyDescent="0.2">
      <c r="A7" s="1725"/>
      <c r="B7" s="1726"/>
      <c r="C7" s="1724"/>
      <c r="D7" s="1724"/>
      <c r="E7" s="1167"/>
      <c r="F7" s="1162"/>
      <c r="G7" s="1162"/>
      <c r="H7" s="1163"/>
      <c r="I7" s="1163"/>
      <c r="J7" s="1162"/>
      <c r="K7" s="1164"/>
      <c r="L7" s="1164"/>
      <c r="M7" s="1164"/>
      <c r="N7" s="1164"/>
      <c r="O7" s="1164"/>
      <c r="P7" s="1244"/>
      <c r="Q7" s="1166"/>
    </row>
    <row r="8" spans="1:17" s="1169" customFormat="1" ht="13.5" customHeight="1" x14ac:dyDescent="0.2">
      <c r="A8" s="1727" t="s">
        <v>120</v>
      </c>
      <c r="B8" s="1728" t="str">
        <f>IF(B4&gt;" ",VLOOKUP(B4,'Lookup and lists'!B29:C307,2)," ")</f>
        <v>NC NORTHERN CAPE</v>
      </c>
      <c r="C8" s="2675"/>
      <c r="D8" s="2675"/>
      <c r="E8" s="1167"/>
      <c r="F8" s="1162"/>
      <c r="G8" s="1162"/>
      <c r="H8" s="1163"/>
      <c r="I8" s="1163"/>
      <c r="J8" s="1162"/>
      <c r="K8" s="1164"/>
      <c r="L8" s="1164"/>
      <c r="M8" s="1164"/>
      <c r="N8" s="1164"/>
      <c r="O8" s="1164"/>
      <c r="P8" s="1244"/>
      <c r="Q8" s="1166"/>
    </row>
    <row r="9" spans="1:17" s="1169" customFormat="1" ht="13.5" customHeight="1" x14ac:dyDescent="0.2">
      <c r="A9" s="1730"/>
      <c r="B9" s="1731"/>
      <c r="C9" s="1729"/>
      <c r="D9" s="1729"/>
      <c r="E9" s="1167"/>
      <c r="F9" s="1162"/>
      <c r="G9" s="1162"/>
      <c r="H9" s="1163"/>
      <c r="I9" s="1163"/>
      <c r="J9" s="1162"/>
      <c r="K9" s="1164"/>
      <c r="L9" s="1164"/>
      <c r="M9" s="1164"/>
      <c r="N9" s="1164"/>
      <c r="O9" s="1164"/>
      <c r="P9" s="1244"/>
      <c r="Q9" s="1166"/>
    </row>
    <row r="10" spans="1:17" ht="13.5" customHeight="1" x14ac:dyDescent="0.2">
      <c r="A10" s="1732" t="s">
        <v>121</v>
      </c>
      <c r="B10" s="1978" t="s">
        <v>2269</v>
      </c>
      <c r="C10" s="1733"/>
      <c r="D10" s="1734"/>
      <c r="F10" s="1163"/>
      <c r="G10" s="1162"/>
      <c r="H10" s="1163"/>
      <c r="I10" s="1163"/>
      <c r="J10" s="1162"/>
      <c r="K10" s="1164"/>
      <c r="L10" s="1164"/>
      <c r="M10" s="1164"/>
      <c r="N10" s="1164"/>
      <c r="O10" s="1164"/>
      <c r="P10" s="1244"/>
      <c r="Q10" s="1166"/>
    </row>
    <row r="11" spans="1:17" ht="13.5" customHeight="1" x14ac:dyDescent="0.2">
      <c r="A11" s="1735"/>
      <c r="B11" s="1736"/>
      <c r="C11" s="2680"/>
      <c r="D11" s="2681"/>
      <c r="F11" s="1163"/>
      <c r="G11" s="1162"/>
      <c r="H11" s="1163"/>
      <c r="I11" s="1163"/>
      <c r="J11" s="1162"/>
      <c r="K11" s="1164"/>
      <c r="L11" s="1164"/>
      <c r="M11" s="1164"/>
      <c r="N11" s="1164"/>
      <c r="O11" s="1164"/>
      <c r="P11" s="1244"/>
      <c r="Q11" s="1168"/>
    </row>
    <row r="12" spans="1:17" ht="13.5" customHeight="1" x14ac:dyDescent="0.2">
      <c r="A12" s="1732" t="s">
        <v>1756</v>
      </c>
      <c r="B12" s="1979" t="s">
        <v>2270</v>
      </c>
      <c r="C12" s="1737"/>
      <c r="D12" s="1737"/>
      <c r="F12" s="1163"/>
      <c r="G12" s="1163"/>
      <c r="H12" s="1163"/>
      <c r="I12" s="1163"/>
      <c r="J12" s="1162"/>
      <c r="K12" s="1164"/>
      <c r="L12" s="1164"/>
      <c r="M12" s="1164"/>
      <c r="N12" s="1164"/>
      <c r="O12" s="1164"/>
      <c r="P12" s="1244"/>
      <c r="Q12" s="1166"/>
    </row>
    <row r="13" spans="1:17" ht="13.5" customHeight="1" x14ac:dyDescent="0.2">
      <c r="A13" s="1738"/>
      <c r="B13" s="1739"/>
      <c r="C13" s="2682"/>
      <c r="D13" s="2682"/>
      <c r="F13" s="1163"/>
      <c r="G13" s="1163"/>
      <c r="H13" s="1163"/>
      <c r="I13" s="1170"/>
      <c r="J13" s="1163"/>
      <c r="K13" s="1164"/>
      <c r="L13" s="1164"/>
      <c r="M13" s="1164"/>
      <c r="N13" s="1164"/>
      <c r="O13" s="1164"/>
      <c r="P13" s="1244"/>
    </row>
    <row r="14" spans="1:17" ht="13.5" customHeight="1" thickBot="1" x14ac:dyDescent="0.25">
      <c r="A14" s="2676" t="s">
        <v>1760</v>
      </c>
      <c r="B14" s="2677"/>
      <c r="C14" s="1740"/>
      <c r="D14" s="1740"/>
      <c r="F14" s="1163"/>
      <c r="G14" s="1163"/>
      <c r="H14" s="1170"/>
      <c r="I14" s="1171"/>
      <c r="J14" s="1163"/>
      <c r="K14" s="1164"/>
      <c r="L14" s="1164"/>
      <c r="M14" s="1164"/>
      <c r="N14" s="1164"/>
      <c r="O14" s="1164"/>
      <c r="P14" s="1244"/>
    </row>
    <row r="15" spans="1:17" ht="13.5" customHeight="1" thickTop="1" x14ac:dyDescent="0.2">
      <c r="A15" s="1741" t="s">
        <v>1761</v>
      </c>
      <c r="B15" s="1742"/>
      <c r="F15" s="1170"/>
      <c r="G15" s="1163"/>
      <c r="H15" s="1171"/>
      <c r="I15" s="1171"/>
      <c r="J15" s="1163"/>
      <c r="K15" s="1164"/>
      <c r="L15" s="1164"/>
      <c r="M15" s="1164"/>
      <c r="N15" s="1164"/>
      <c r="O15" s="1164"/>
      <c r="P15" s="1244"/>
    </row>
    <row r="16" spans="1:17" s="1169" customFormat="1" ht="13.5" customHeight="1" x14ac:dyDescent="0.2">
      <c r="A16" s="1743" t="s">
        <v>1763</v>
      </c>
      <c r="B16" s="1744" t="s">
        <v>2271</v>
      </c>
      <c r="C16" s="1710"/>
      <c r="D16" s="1710"/>
      <c r="E16" s="1167"/>
      <c r="F16" s="1171"/>
      <c r="G16" s="1170"/>
      <c r="H16" s="1171"/>
      <c r="I16" s="1171"/>
      <c r="J16" s="1163"/>
      <c r="K16" s="1164"/>
      <c r="L16" s="1164"/>
      <c r="M16" s="1164"/>
      <c r="N16" s="1164"/>
      <c r="O16" s="1164"/>
      <c r="P16" s="1244"/>
      <c r="Q16" s="1159"/>
    </row>
    <row r="17" spans="1:17" ht="13.5" customHeight="1" x14ac:dyDescent="0.2">
      <c r="A17" s="1743" t="s">
        <v>1765</v>
      </c>
      <c r="B17" s="1744" t="s">
        <v>2272</v>
      </c>
      <c r="F17" s="1171"/>
      <c r="G17" s="1171"/>
      <c r="H17" s="1171"/>
      <c r="I17" s="1171"/>
      <c r="J17" s="1170"/>
      <c r="K17" s="1164"/>
      <c r="L17" s="1164"/>
      <c r="M17" s="1164"/>
      <c r="N17" s="1164"/>
      <c r="O17" s="1164"/>
      <c r="P17" s="1244"/>
    </row>
    <row r="18" spans="1:17" ht="13.5" customHeight="1" x14ac:dyDescent="0.2">
      <c r="A18" s="1745" t="s">
        <v>1766</v>
      </c>
      <c r="B18" s="1746">
        <v>7070</v>
      </c>
      <c r="F18" s="1171"/>
      <c r="G18" s="1171"/>
      <c r="H18" s="1171"/>
      <c r="I18" s="1171"/>
      <c r="J18" s="1171"/>
      <c r="K18" s="1164"/>
      <c r="L18" s="1164"/>
      <c r="M18" s="1164"/>
      <c r="N18" s="1164"/>
      <c r="O18" s="1164"/>
      <c r="P18" s="1244"/>
    </row>
    <row r="19" spans="1:17" ht="13.5" customHeight="1" x14ac:dyDescent="0.2">
      <c r="A19" s="1747"/>
      <c r="B19" s="1748"/>
      <c r="F19" s="1171"/>
      <c r="G19" s="1171"/>
      <c r="H19" s="1171"/>
      <c r="I19" s="1171"/>
      <c r="J19" s="1171"/>
      <c r="K19" s="1164"/>
      <c r="L19" s="1164"/>
      <c r="M19" s="1164"/>
      <c r="N19" s="1164"/>
      <c r="O19" s="1164"/>
      <c r="P19" s="1244"/>
    </row>
    <row r="20" spans="1:17" ht="13.5" customHeight="1" x14ac:dyDescent="0.2">
      <c r="A20" s="1749" t="s">
        <v>1138</v>
      </c>
      <c r="B20" s="1750"/>
      <c r="F20" s="1171"/>
      <c r="G20" s="1171"/>
      <c r="H20" s="1171"/>
      <c r="I20" s="1171"/>
      <c r="J20" s="1171"/>
      <c r="K20" s="1164"/>
      <c r="L20" s="1164"/>
      <c r="M20" s="1164"/>
      <c r="N20" s="1164"/>
      <c r="O20" s="1164"/>
      <c r="P20" s="1244"/>
    </row>
    <row r="21" spans="1:17" ht="13.5" customHeight="1" x14ac:dyDescent="0.2">
      <c r="A21" s="1743" t="s">
        <v>1140</v>
      </c>
      <c r="B21" s="1744"/>
      <c r="F21" s="1171"/>
      <c r="G21" s="1171"/>
      <c r="H21" s="1171"/>
      <c r="I21" s="1171"/>
      <c r="J21" s="1171"/>
      <c r="K21" s="1164"/>
      <c r="L21" s="1164"/>
      <c r="M21" s="1164"/>
      <c r="N21" s="1164"/>
      <c r="O21" s="1164"/>
      <c r="P21" s="1244"/>
    </row>
    <row r="22" spans="1:17" ht="13.5" customHeight="1" x14ac:dyDescent="0.2">
      <c r="A22" s="1743" t="s">
        <v>1142</v>
      </c>
      <c r="B22" s="1744" t="s">
        <v>2273</v>
      </c>
      <c r="F22" s="1171"/>
      <c r="G22" s="1171"/>
      <c r="H22" s="1171"/>
      <c r="I22" s="1171"/>
      <c r="J22" s="1171"/>
      <c r="K22" s="1164"/>
      <c r="L22" s="1164"/>
      <c r="M22" s="1164"/>
      <c r="N22" s="1164"/>
      <c r="O22" s="1164"/>
      <c r="P22" s="1244"/>
    </row>
    <row r="23" spans="1:17" ht="13.5" customHeight="1" x14ac:dyDescent="0.2">
      <c r="A23" s="1743" t="s">
        <v>1765</v>
      </c>
      <c r="B23" s="1744" t="s">
        <v>2272</v>
      </c>
      <c r="F23" s="1171"/>
      <c r="G23" s="1171"/>
      <c r="H23" s="1171"/>
      <c r="I23" s="1171"/>
      <c r="J23" s="1171"/>
      <c r="K23" s="1164"/>
      <c r="L23" s="1164"/>
      <c r="M23" s="1164"/>
      <c r="N23" s="1164"/>
      <c r="O23" s="1164"/>
      <c r="P23" s="1244"/>
    </row>
    <row r="24" spans="1:17" ht="13.5" customHeight="1" x14ac:dyDescent="0.2">
      <c r="A24" s="1745" t="s">
        <v>1766</v>
      </c>
      <c r="B24" s="1746">
        <v>7070</v>
      </c>
      <c r="F24" s="1171"/>
      <c r="G24" s="1171"/>
      <c r="H24" s="1171"/>
      <c r="I24" s="1171"/>
      <c r="J24" s="1171"/>
      <c r="K24" s="1164"/>
      <c r="L24" s="1164"/>
      <c r="M24" s="1164"/>
      <c r="N24" s="1164"/>
      <c r="O24" s="1164"/>
      <c r="P24" s="1244"/>
    </row>
    <row r="25" spans="1:17" ht="13.5" customHeight="1" x14ac:dyDescent="0.2">
      <c r="A25" s="1747"/>
      <c r="B25" s="1748"/>
      <c r="F25" s="1171"/>
      <c r="G25" s="1171"/>
      <c r="H25" s="1171"/>
      <c r="I25" s="1171"/>
      <c r="J25" s="1171"/>
      <c r="K25" s="1164"/>
      <c r="L25" s="1164"/>
      <c r="M25" s="1164"/>
      <c r="N25" s="1164"/>
      <c r="O25" s="1164"/>
      <c r="P25" s="1244"/>
    </row>
    <row r="26" spans="1:17" ht="13.5" customHeight="1" x14ac:dyDescent="0.2">
      <c r="A26" s="1749" t="s">
        <v>1146</v>
      </c>
      <c r="B26" s="1751"/>
      <c r="F26" s="1171"/>
      <c r="G26" s="1171"/>
      <c r="H26" s="1171"/>
      <c r="I26" s="1171"/>
      <c r="J26" s="1171"/>
      <c r="K26" s="1164"/>
      <c r="L26" s="1164"/>
      <c r="M26" s="1164"/>
      <c r="N26" s="1164"/>
      <c r="O26" s="1164"/>
      <c r="P26" s="1244"/>
    </row>
    <row r="27" spans="1:17" ht="13.5" customHeight="1" x14ac:dyDescent="0.2">
      <c r="A27" s="1743" t="s">
        <v>1148</v>
      </c>
      <c r="B27" s="1980" t="s">
        <v>2274</v>
      </c>
      <c r="F27" s="1171"/>
      <c r="G27" s="1171"/>
      <c r="H27" s="1171"/>
      <c r="I27" s="1171"/>
      <c r="J27" s="1171"/>
      <c r="K27" s="1164"/>
      <c r="L27" s="1164"/>
      <c r="M27" s="1164"/>
      <c r="N27" s="1164"/>
      <c r="O27" s="1164"/>
      <c r="P27" s="1244"/>
    </row>
    <row r="28" spans="1:17" ht="13.5" customHeight="1" x14ac:dyDescent="0.2">
      <c r="A28" s="1745" t="s">
        <v>1150</v>
      </c>
      <c r="B28" s="1981" t="s">
        <v>2275</v>
      </c>
      <c r="I28" s="1172"/>
      <c r="J28" s="1171"/>
      <c r="K28" s="1171"/>
      <c r="L28" s="1171"/>
      <c r="M28" s="1171"/>
      <c r="N28" s="1171"/>
      <c r="O28" s="1171"/>
      <c r="P28" s="1244"/>
    </row>
    <row r="29" spans="1:17" ht="13.5" customHeight="1" x14ac:dyDescent="0.2">
      <c r="A29" s="1747"/>
      <c r="B29" s="1753"/>
      <c r="I29" s="1172"/>
      <c r="J29" s="1172"/>
      <c r="K29" s="1172"/>
      <c r="L29" s="1172"/>
      <c r="M29" s="1172"/>
      <c r="N29" s="1172"/>
      <c r="O29" s="1172"/>
      <c r="P29" s="1244"/>
    </row>
    <row r="30" spans="1:17" ht="13.5" customHeight="1" thickBot="1" x14ac:dyDescent="0.25">
      <c r="A30" s="2678" t="s">
        <v>1152</v>
      </c>
      <c r="B30" s="2679"/>
      <c r="C30" s="2685"/>
      <c r="D30" s="2686"/>
      <c r="I30" s="1172"/>
      <c r="J30" s="1172"/>
      <c r="K30" s="1172"/>
      <c r="L30" s="1172"/>
      <c r="M30" s="1172"/>
      <c r="N30" s="1172"/>
      <c r="O30" s="1172"/>
      <c r="P30" s="1244"/>
    </row>
    <row r="31" spans="1:17" ht="13.5" customHeight="1" thickTop="1" x14ac:dyDescent="0.2">
      <c r="A31" s="1749" t="s">
        <v>1153</v>
      </c>
      <c r="B31" s="1750"/>
      <c r="C31" s="2693" t="s">
        <v>1154</v>
      </c>
      <c r="D31" s="2694"/>
      <c r="I31" s="1172"/>
      <c r="J31" s="1172"/>
      <c r="K31" s="1172"/>
      <c r="L31" s="1172"/>
      <c r="M31" s="1172"/>
      <c r="N31" s="1172"/>
      <c r="O31" s="1172"/>
      <c r="P31" s="1244"/>
      <c r="Q31" s="1165"/>
    </row>
    <row r="32" spans="1:17" ht="13.5" customHeight="1" x14ac:dyDescent="0.2">
      <c r="A32" s="1743" t="s">
        <v>1156</v>
      </c>
      <c r="B32" s="1754"/>
      <c r="C32" s="1743" t="s">
        <v>1156</v>
      </c>
      <c r="D32" s="1754"/>
      <c r="I32" s="1172"/>
      <c r="J32" s="1172"/>
      <c r="K32" s="1172"/>
      <c r="L32" s="1172"/>
      <c r="M32" s="1172"/>
      <c r="N32" s="1172"/>
      <c r="O32" s="1172"/>
      <c r="P32" s="1244"/>
      <c r="Q32" s="1172"/>
    </row>
    <row r="33" spans="1:17" ht="13.5" customHeight="1" x14ac:dyDescent="0.2">
      <c r="A33" s="1743" t="s">
        <v>1148</v>
      </c>
      <c r="B33" s="1754"/>
      <c r="C33" s="1743" t="s">
        <v>1148</v>
      </c>
      <c r="D33" s="1754"/>
      <c r="F33" s="1162"/>
      <c r="G33" s="1164"/>
      <c r="I33" s="1172"/>
      <c r="J33" s="1172"/>
      <c r="K33" s="1172"/>
      <c r="L33" s="1172"/>
      <c r="M33" s="1172"/>
      <c r="N33" s="1172"/>
      <c r="O33" s="1172"/>
      <c r="P33" s="1244"/>
      <c r="Q33" s="1172"/>
    </row>
    <row r="34" spans="1:17" ht="13.5" customHeight="1" x14ac:dyDescent="0.2">
      <c r="A34" s="1743" t="s">
        <v>1160</v>
      </c>
      <c r="B34" s="1754"/>
      <c r="C34" s="1743" t="s">
        <v>1160</v>
      </c>
      <c r="D34" s="1754"/>
      <c r="F34" s="1162"/>
      <c r="G34" s="1164"/>
      <c r="I34" s="1172"/>
      <c r="J34" s="1172"/>
      <c r="K34" s="1172"/>
      <c r="L34" s="1172"/>
      <c r="M34" s="1172"/>
      <c r="N34" s="1172"/>
      <c r="O34" s="1172"/>
      <c r="P34" s="1244"/>
    </row>
    <row r="35" spans="1:17" ht="13.5" customHeight="1" x14ac:dyDescent="0.2">
      <c r="A35" s="1743" t="s">
        <v>1150</v>
      </c>
      <c r="B35" s="1754"/>
      <c r="C35" s="1743" t="s">
        <v>1150</v>
      </c>
      <c r="D35" s="1754"/>
      <c r="F35" s="1163"/>
      <c r="G35" s="1164"/>
      <c r="I35" s="1172"/>
      <c r="J35" s="1172"/>
      <c r="K35" s="1172"/>
      <c r="L35" s="1172"/>
      <c r="M35" s="1172"/>
      <c r="N35" s="1172"/>
      <c r="O35" s="1172"/>
      <c r="P35" s="1244"/>
    </row>
    <row r="36" spans="1:17" ht="13.5" customHeight="1" x14ac:dyDescent="0.2">
      <c r="A36" s="1743" t="s">
        <v>1163</v>
      </c>
      <c r="B36" s="1754"/>
      <c r="C36" s="1743" t="s">
        <v>1163</v>
      </c>
      <c r="D36" s="1754"/>
      <c r="F36" s="1163"/>
      <c r="G36" s="1164"/>
      <c r="I36" s="1172"/>
      <c r="J36" s="1172"/>
      <c r="K36" s="1172"/>
      <c r="L36" s="1172"/>
      <c r="M36" s="1172"/>
      <c r="N36" s="1172"/>
      <c r="O36" s="1172"/>
      <c r="P36" s="1244"/>
    </row>
    <row r="37" spans="1:17" ht="13.5" customHeight="1" x14ac:dyDescent="0.2">
      <c r="A37" s="1743"/>
      <c r="B37" s="1754"/>
      <c r="C37" s="1743"/>
      <c r="D37" s="1754"/>
      <c r="F37" s="1163"/>
      <c r="G37" s="1164"/>
      <c r="I37" s="1172"/>
      <c r="J37" s="1172"/>
      <c r="K37" s="1172"/>
      <c r="L37" s="1172"/>
      <c r="M37" s="1172"/>
      <c r="N37" s="1172"/>
      <c r="O37" s="1172"/>
      <c r="P37" s="1244"/>
    </row>
    <row r="38" spans="1:17" ht="13.5" customHeight="1" x14ac:dyDescent="0.2">
      <c r="A38" s="2683" t="s">
        <v>1166</v>
      </c>
      <c r="B38" s="2684"/>
      <c r="C38" s="2683" t="s">
        <v>1167</v>
      </c>
      <c r="D38" s="2684"/>
      <c r="F38" s="1163"/>
      <c r="G38" s="1164"/>
      <c r="I38" s="1172"/>
      <c r="J38" s="1172"/>
      <c r="K38" s="1172"/>
      <c r="L38" s="1172"/>
      <c r="M38" s="1172"/>
      <c r="N38" s="1172"/>
      <c r="O38" s="1172"/>
      <c r="P38" s="1244"/>
    </row>
    <row r="39" spans="1:17" ht="13.5" customHeight="1" x14ac:dyDescent="0.2">
      <c r="A39" s="1743" t="s">
        <v>1156</v>
      </c>
      <c r="B39" s="1744" t="s">
        <v>2276</v>
      </c>
      <c r="C39" s="1743" t="s">
        <v>1156</v>
      </c>
      <c r="D39" s="1744" t="s">
        <v>2283</v>
      </c>
      <c r="F39" s="1163"/>
      <c r="G39" s="1164"/>
      <c r="I39" s="1172"/>
      <c r="J39" s="1172"/>
      <c r="K39" s="1172"/>
      <c r="L39" s="1172"/>
      <c r="M39" s="1172"/>
      <c r="N39" s="1172"/>
      <c r="O39" s="1172"/>
      <c r="P39" s="1244"/>
    </row>
    <row r="40" spans="1:17" ht="13.5" customHeight="1" x14ac:dyDescent="0.2">
      <c r="A40" s="1743" t="s">
        <v>1148</v>
      </c>
      <c r="B40" s="1982" t="s">
        <v>2274</v>
      </c>
      <c r="C40" s="1743" t="s">
        <v>1148</v>
      </c>
      <c r="D40" s="1982" t="s">
        <v>2274</v>
      </c>
      <c r="F40" s="1170"/>
      <c r="G40" s="1164"/>
      <c r="I40" s="1172"/>
      <c r="J40" s="1172"/>
      <c r="K40" s="1172"/>
      <c r="L40" s="1172"/>
      <c r="M40" s="1172"/>
      <c r="N40" s="1172"/>
      <c r="O40" s="1172"/>
      <c r="P40" s="1244"/>
    </row>
    <row r="41" spans="1:17" ht="13.5" customHeight="1" x14ac:dyDescent="0.2">
      <c r="A41" s="1743" t="s">
        <v>1160</v>
      </c>
      <c r="B41" s="1744"/>
      <c r="C41" s="1743" t="s">
        <v>1160</v>
      </c>
      <c r="D41" s="1982" t="s">
        <v>2284</v>
      </c>
      <c r="F41" s="1171"/>
      <c r="G41" s="1164"/>
      <c r="I41" s="1172"/>
      <c r="J41" s="1172"/>
      <c r="K41" s="1172"/>
      <c r="L41" s="1172"/>
      <c r="M41" s="1172"/>
      <c r="N41" s="1172"/>
      <c r="O41" s="1172"/>
      <c r="P41" s="1244"/>
    </row>
    <row r="42" spans="1:17" ht="13.5" customHeight="1" x14ac:dyDescent="0.2">
      <c r="A42" s="1743" t="s">
        <v>1150</v>
      </c>
      <c r="B42" s="1982" t="s">
        <v>2275</v>
      </c>
      <c r="C42" s="1743" t="s">
        <v>1150</v>
      </c>
      <c r="D42" s="1982" t="s">
        <v>2275</v>
      </c>
      <c r="F42" s="1171"/>
      <c r="G42" s="1164"/>
      <c r="I42" s="1172"/>
      <c r="J42" s="1172"/>
      <c r="K42" s="1172"/>
      <c r="L42" s="1172"/>
      <c r="M42" s="1172"/>
      <c r="N42" s="1172"/>
      <c r="O42" s="1172"/>
      <c r="P42" s="1244"/>
    </row>
    <row r="43" spans="1:17" ht="13.5" customHeight="1" x14ac:dyDescent="0.2">
      <c r="A43" s="1755" t="s">
        <v>1163</v>
      </c>
      <c r="B43" s="1756"/>
      <c r="C43" s="1755" t="s">
        <v>1163</v>
      </c>
      <c r="D43" s="1985" t="s">
        <v>2285</v>
      </c>
      <c r="F43" s="1171"/>
      <c r="G43" s="1164"/>
      <c r="I43" s="1172"/>
      <c r="J43" s="1172"/>
      <c r="K43" s="1172"/>
      <c r="L43" s="1172"/>
      <c r="M43" s="1172"/>
      <c r="N43" s="1172"/>
      <c r="O43" s="1172"/>
      <c r="P43" s="1244"/>
    </row>
    <row r="44" spans="1:17" ht="13.5" customHeight="1" x14ac:dyDescent="0.2">
      <c r="A44" s="1747"/>
      <c r="B44" s="1753"/>
      <c r="C44" s="1747"/>
      <c r="D44" s="1753"/>
      <c r="F44" s="1171"/>
      <c r="G44" s="1164"/>
      <c r="I44" s="1172"/>
      <c r="J44" s="1172"/>
      <c r="K44" s="1172"/>
      <c r="L44" s="1172"/>
      <c r="M44" s="1172"/>
      <c r="N44" s="1172"/>
      <c r="O44" s="1172"/>
      <c r="P44" s="1244"/>
    </row>
    <row r="45" spans="1:17" ht="13.5" customHeight="1" x14ac:dyDescent="0.2">
      <c r="A45" s="2683" t="s">
        <v>1174</v>
      </c>
      <c r="B45" s="2684"/>
      <c r="C45" s="2683" t="s">
        <v>1175</v>
      </c>
      <c r="D45" s="2684"/>
      <c r="F45" s="1171"/>
      <c r="G45" s="1164"/>
      <c r="I45" s="1172"/>
      <c r="J45" s="1172"/>
      <c r="K45" s="1172"/>
      <c r="L45" s="1172"/>
      <c r="M45" s="1172"/>
      <c r="N45" s="1172"/>
      <c r="O45" s="1172"/>
      <c r="P45" s="1244"/>
    </row>
    <row r="46" spans="1:17" ht="13.5" customHeight="1" x14ac:dyDescent="0.2">
      <c r="A46" s="1743" t="s">
        <v>1156</v>
      </c>
      <c r="B46" s="1744"/>
      <c r="C46" s="1743" t="s">
        <v>1156</v>
      </c>
      <c r="D46" s="1744"/>
      <c r="F46" s="1171"/>
      <c r="G46" s="1164"/>
      <c r="I46" s="1172"/>
      <c r="J46" s="1172"/>
      <c r="K46" s="1172"/>
      <c r="L46" s="1172"/>
      <c r="M46" s="1172"/>
      <c r="N46" s="1172"/>
      <c r="O46" s="1172"/>
      <c r="P46" s="1244"/>
    </row>
    <row r="47" spans="1:17" s="1159" customFormat="1" ht="13.5" customHeight="1" x14ac:dyDescent="0.2">
      <c r="A47" s="1743" t="s">
        <v>1148</v>
      </c>
      <c r="B47" s="1744"/>
      <c r="C47" s="1743" t="s">
        <v>1148</v>
      </c>
      <c r="D47" s="1982"/>
      <c r="E47" s="1158"/>
      <c r="F47" s="1171"/>
      <c r="G47" s="1164"/>
      <c r="I47" s="1172"/>
      <c r="J47" s="1172"/>
      <c r="K47" s="1172"/>
      <c r="L47" s="1172"/>
      <c r="M47" s="1172"/>
      <c r="N47" s="1172"/>
      <c r="O47" s="1172"/>
      <c r="P47" s="1244"/>
    </row>
    <row r="48" spans="1:17" s="1159" customFormat="1" ht="13.5" customHeight="1" x14ac:dyDescent="0.2">
      <c r="A48" s="1743" t="s">
        <v>1160</v>
      </c>
      <c r="B48" s="1744"/>
      <c r="C48" s="1743" t="s">
        <v>1160</v>
      </c>
      <c r="D48" s="1982"/>
      <c r="E48" s="1158"/>
      <c r="F48" s="1171"/>
      <c r="G48" s="1164"/>
      <c r="I48" s="1172"/>
      <c r="J48" s="1172"/>
      <c r="K48" s="1172"/>
      <c r="L48" s="1172"/>
      <c r="M48" s="1172"/>
      <c r="N48" s="1172"/>
      <c r="O48" s="1172"/>
      <c r="P48" s="1244"/>
    </row>
    <row r="49" spans="1:17" s="1159" customFormat="1" ht="13.5" customHeight="1" x14ac:dyDescent="0.2">
      <c r="A49" s="1743" t="s">
        <v>1150</v>
      </c>
      <c r="B49" s="1744"/>
      <c r="C49" s="1743" t="s">
        <v>1150</v>
      </c>
      <c r="D49" s="1982"/>
      <c r="E49" s="1158"/>
      <c r="F49" s="1171"/>
      <c r="G49" s="1164"/>
      <c r="I49" s="1172"/>
      <c r="J49" s="1172"/>
      <c r="K49" s="1172"/>
      <c r="L49" s="1172"/>
      <c r="M49" s="1172"/>
      <c r="N49" s="1172"/>
      <c r="O49" s="1172"/>
      <c r="P49" s="1244"/>
    </row>
    <row r="50" spans="1:17" s="1159" customFormat="1" ht="13.5" customHeight="1" x14ac:dyDescent="0.2">
      <c r="A50" s="1745" t="s">
        <v>1163</v>
      </c>
      <c r="B50" s="1752"/>
      <c r="C50" s="1745" t="s">
        <v>1163</v>
      </c>
      <c r="D50" s="1985"/>
      <c r="E50" s="1158"/>
      <c r="F50" s="1171"/>
      <c r="G50" s="1164"/>
      <c r="I50" s="1172"/>
      <c r="J50" s="1172"/>
      <c r="K50" s="1172"/>
      <c r="L50" s="1172"/>
      <c r="M50" s="1172"/>
      <c r="N50" s="1172"/>
      <c r="O50" s="1172"/>
      <c r="P50" s="1244"/>
    </row>
    <row r="51" spans="1:17" s="1159" customFormat="1" ht="13.5" customHeight="1" x14ac:dyDescent="0.2">
      <c r="A51" s="1747"/>
      <c r="B51" s="1753"/>
      <c r="C51" s="1747"/>
      <c r="D51" s="1753"/>
      <c r="E51" s="1158"/>
      <c r="F51" s="1171"/>
      <c r="G51" s="1164"/>
      <c r="I51" s="1172"/>
      <c r="J51" s="1172"/>
      <c r="K51" s="1172"/>
      <c r="L51" s="1172"/>
      <c r="M51" s="1172"/>
      <c r="N51" s="1172"/>
      <c r="O51" s="1172"/>
      <c r="P51" s="1244"/>
    </row>
    <row r="52" spans="1:17" s="1159" customFormat="1" ht="13.5" customHeight="1" thickBot="1" x14ac:dyDescent="0.25">
      <c r="A52" s="2689" t="s">
        <v>1177</v>
      </c>
      <c r="B52" s="2690"/>
      <c r="C52" s="2695"/>
      <c r="D52" s="2696"/>
      <c r="E52" s="1158"/>
      <c r="F52" s="1171"/>
      <c r="G52" s="1164"/>
      <c r="I52" s="1172"/>
      <c r="J52" s="1172"/>
      <c r="K52" s="1172"/>
      <c r="L52" s="1172"/>
      <c r="M52" s="1172"/>
      <c r="N52" s="1172"/>
      <c r="O52" s="1172"/>
      <c r="P52" s="1244"/>
    </row>
    <row r="53" spans="1:17" s="1175" customFormat="1" ht="13.5" customHeight="1" thickTop="1" x14ac:dyDescent="0.2">
      <c r="A53" s="1749" t="s">
        <v>1178</v>
      </c>
      <c r="B53" s="1750"/>
      <c r="C53" s="2683" t="s">
        <v>1179</v>
      </c>
      <c r="D53" s="2684"/>
      <c r="E53" s="1161"/>
      <c r="F53" s="1173"/>
      <c r="G53" s="1174"/>
      <c r="I53" s="1176"/>
      <c r="J53" s="1176"/>
      <c r="K53" s="1176"/>
      <c r="L53" s="1176"/>
      <c r="M53" s="1176"/>
      <c r="N53" s="1176"/>
      <c r="O53" s="1176"/>
      <c r="P53" s="1244"/>
      <c r="Q53" s="1159"/>
    </row>
    <row r="54" spans="1:17" s="1175" customFormat="1" ht="13.5" customHeight="1" x14ac:dyDescent="0.2">
      <c r="A54" s="1743" t="s">
        <v>1156</v>
      </c>
      <c r="B54" s="1744" t="s">
        <v>2277</v>
      </c>
      <c r="C54" s="1743" t="s">
        <v>1156</v>
      </c>
      <c r="D54" s="1744" t="s">
        <v>2283</v>
      </c>
      <c r="E54" s="1161"/>
      <c r="F54" s="1173"/>
      <c r="G54" s="1174"/>
      <c r="I54" s="1176"/>
      <c r="J54" s="1176"/>
      <c r="K54" s="1176"/>
      <c r="L54" s="1176"/>
      <c r="M54" s="1176"/>
      <c r="N54" s="1176"/>
      <c r="O54" s="1176"/>
      <c r="P54" s="1244"/>
      <c r="Q54" s="1159"/>
    </row>
    <row r="55" spans="1:17" s="1159" customFormat="1" ht="13.5" customHeight="1" x14ac:dyDescent="0.2">
      <c r="A55" s="1743" t="s">
        <v>1148</v>
      </c>
      <c r="B55" s="1982" t="s">
        <v>2274</v>
      </c>
      <c r="C55" s="1743" t="s">
        <v>1148</v>
      </c>
      <c r="D55" s="1982" t="s">
        <v>2274</v>
      </c>
      <c r="E55" s="1158"/>
      <c r="F55" s="1171"/>
      <c r="G55" s="1164"/>
      <c r="I55" s="1172"/>
      <c r="J55" s="1172"/>
      <c r="K55" s="1172"/>
      <c r="L55" s="1172"/>
      <c r="M55" s="1172"/>
      <c r="N55" s="1172"/>
      <c r="O55" s="1172"/>
      <c r="P55" s="1244"/>
    </row>
    <row r="56" spans="1:17" s="1159" customFormat="1" ht="13.5" customHeight="1" x14ac:dyDescent="0.2">
      <c r="A56" s="1743" t="s">
        <v>1160</v>
      </c>
      <c r="B56" s="1982" t="s">
        <v>2278</v>
      </c>
      <c r="C56" s="1743" t="s">
        <v>1160</v>
      </c>
      <c r="D56" s="1982" t="s">
        <v>2284</v>
      </c>
      <c r="E56" s="1158"/>
      <c r="F56" s="1171"/>
      <c r="G56" s="1164"/>
      <c r="I56" s="1172"/>
      <c r="J56" s="1172"/>
      <c r="K56" s="1172"/>
      <c r="L56" s="1172"/>
      <c r="M56" s="1172"/>
      <c r="N56" s="1172"/>
      <c r="O56" s="1172"/>
      <c r="P56" s="1244"/>
    </row>
    <row r="57" spans="1:17" s="1159" customFormat="1" ht="13.5" customHeight="1" x14ac:dyDescent="0.2">
      <c r="A57" s="1743" t="s">
        <v>1150</v>
      </c>
      <c r="B57" s="1982" t="s">
        <v>2275</v>
      </c>
      <c r="C57" s="1743" t="s">
        <v>1150</v>
      </c>
      <c r="D57" s="1982" t="s">
        <v>2275</v>
      </c>
      <c r="E57" s="1158"/>
      <c r="F57" s="1171"/>
      <c r="G57" s="1164"/>
      <c r="I57" s="1172"/>
      <c r="J57" s="1172"/>
      <c r="K57" s="1172"/>
      <c r="L57" s="1172"/>
      <c r="M57" s="1172"/>
      <c r="N57" s="1172"/>
      <c r="O57" s="1172"/>
      <c r="P57" s="1244"/>
    </row>
    <row r="58" spans="1:17" ht="13.5" customHeight="1" x14ac:dyDescent="0.2">
      <c r="A58" s="1745" t="s">
        <v>1163</v>
      </c>
      <c r="B58" s="1983" t="s">
        <v>2279</v>
      </c>
      <c r="C58" s="1745" t="s">
        <v>1163</v>
      </c>
      <c r="D58" s="1985" t="s">
        <v>2285</v>
      </c>
      <c r="F58" s="1171"/>
      <c r="G58" s="1164"/>
      <c r="I58" s="1172"/>
      <c r="J58" s="1172"/>
      <c r="K58" s="1172"/>
      <c r="L58" s="1172"/>
      <c r="M58" s="1172"/>
      <c r="N58" s="1172"/>
      <c r="O58" s="1172"/>
      <c r="P58" s="1244"/>
    </row>
    <row r="59" spans="1:17" ht="13.5" customHeight="1" x14ac:dyDescent="0.2">
      <c r="A59" s="1747"/>
      <c r="B59" s="1753"/>
      <c r="C59" s="1747"/>
      <c r="D59" s="1753"/>
      <c r="F59" s="1171"/>
      <c r="G59" s="1164"/>
      <c r="I59" s="1172"/>
      <c r="J59" s="1172"/>
      <c r="K59" s="1172"/>
      <c r="L59" s="1172"/>
      <c r="M59" s="1172"/>
      <c r="N59" s="1172"/>
      <c r="O59" s="1172"/>
      <c r="P59" s="1244"/>
    </row>
    <row r="60" spans="1:17" ht="13.5" customHeight="1" x14ac:dyDescent="0.2">
      <c r="A60" s="1757" t="s">
        <v>1180</v>
      </c>
      <c r="B60" s="1751"/>
      <c r="C60" s="2683" t="s">
        <v>1181</v>
      </c>
      <c r="D60" s="2684"/>
      <c r="F60" s="1171"/>
      <c r="G60" s="1164"/>
      <c r="I60" s="1172"/>
      <c r="J60" s="1172"/>
      <c r="K60" s="1172"/>
      <c r="L60" s="1172"/>
      <c r="M60" s="1172"/>
      <c r="N60" s="1172"/>
      <c r="O60" s="1172"/>
      <c r="P60" s="1244"/>
    </row>
    <row r="61" spans="1:17" s="1177" customFormat="1" ht="13.5" customHeight="1" x14ac:dyDescent="0.2">
      <c r="A61" s="1743" t="s">
        <v>1156</v>
      </c>
      <c r="B61" s="1744" t="s">
        <v>2280</v>
      </c>
      <c r="C61" s="1743" t="s">
        <v>1156</v>
      </c>
      <c r="D61" s="1744" t="s">
        <v>2286</v>
      </c>
      <c r="E61" s="1161"/>
      <c r="F61" s="1173"/>
      <c r="G61" s="1174"/>
      <c r="H61" s="1175"/>
      <c r="I61" s="1176"/>
      <c r="J61" s="1176"/>
      <c r="K61" s="1176"/>
      <c r="L61" s="1176"/>
      <c r="M61" s="1176"/>
      <c r="N61" s="1176"/>
      <c r="O61" s="1176"/>
      <c r="P61" s="1244"/>
      <c r="Q61" s="1159"/>
    </row>
    <row r="62" spans="1:17" ht="13.5" customHeight="1" x14ac:dyDescent="0.2">
      <c r="A62" s="1743" t="s">
        <v>1148</v>
      </c>
      <c r="B62" s="1982" t="s">
        <v>2274</v>
      </c>
      <c r="C62" s="1743" t="s">
        <v>1148</v>
      </c>
      <c r="D62" s="1982" t="s">
        <v>2274</v>
      </c>
      <c r="F62" s="1171"/>
      <c r="G62" s="1164"/>
      <c r="I62" s="1172"/>
      <c r="J62" s="1172"/>
      <c r="K62" s="1172"/>
      <c r="L62" s="1172"/>
      <c r="M62" s="1172"/>
      <c r="N62" s="1172"/>
      <c r="O62" s="1172"/>
      <c r="P62" s="1244"/>
    </row>
    <row r="63" spans="1:17" ht="13.5" customHeight="1" x14ac:dyDescent="0.2">
      <c r="A63" s="1743" t="s">
        <v>1160</v>
      </c>
      <c r="B63" s="1982" t="s">
        <v>2281</v>
      </c>
      <c r="C63" s="1743" t="s">
        <v>1160</v>
      </c>
      <c r="D63" s="1982" t="s">
        <v>2287</v>
      </c>
      <c r="F63" s="1171"/>
      <c r="G63" s="1164"/>
      <c r="I63" s="1172"/>
      <c r="J63" s="1172"/>
      <c r="K63" s="1172"/>
      <c r="L63" s="1172"/>
      <c r="M63" s="1172"/>
      <c r="N63" s="1172"/>
      <c r="O63" s="1172"/>
      <c r="P63" s="1244"/>
    </row>
    <row r="64" spans="1:17" ht="13.5" customHeight="1" x14ac:dyDescent="0.2">
      <c r="A64" s="1743" t="s">
        <v>1150</v>
      </c>
      <c r="B64" s="1982" t="s">
        <v>2275</v>
      </c>
      <c r="C64" s="1743" t="s">
        <v>1150</v>
      </c>
      <c r="D64" s="1982" t="s">
        <v>2275</v>
      </c>
      <c r="F64" s="1171"/>
      <c r="G64" s="1164"/>
      <c r="I64" s="1172"/>
      <c r="J64" s="1172"/>
      <c r="K64" s="1172"/>
      <c r="L64" s="1172"/>
      <c r="M64" s="1172"/>
      <c r="N64" s="1172"/>
      <c r="O64" s="1172"/>
      <c r="P64" s="1244"/>
    </row>
    <row r="65" spans="1:17" ht="13.5" customHeight="1" x14ac:dyDescent="0.2">
      <c r="A65" s="1745" t="s">
        <v>1163</v>
      </c>
      <c r="B65" s="1983" t="s">
        <v>2282</v>
      </c>
      <c r="C65" s="1745" t="s">
        <v>1163</v>
      </c>
      <c r="D65" s="1983" t="s">
        <v>2288</v>
      </c>
      <c r="F65" s="1171"/>
      <c r="G65" s="1164"/>
      <c r="I65" s="1172"/>
      <c r="J65" s="1172"/>
      <c r="K65" s="1172"/>
      <c r="L65" s="1172"/>
      <c r="M65" s="1172"/>
      <c r="N65" s="1172"/>
      <c r="O65" s="1172"/>
      <c r="P65" s="1244"/>
    </row>
    <row r="66" spans="1:17" ht="13.5" customHeight="1" x14ac:dyDescent="0.2">
      <c r="A66" s="1747"/>
      <c r="B66" s="1753"/>
      <c r="C66" s="1747"/>
      <c r="D66" s="1753"/>
      <c r="F66" s="1171"/>
      <c r="G66" s="1164"/>
      <c r="I66" s="1172"/>
      <c r="J66" s="1172"/>
      <c r="K66" s="1172"/>
      <c r="L66" s="1172"/>
      <c r="M66" s="1172"/>
      <c r="N66" s="1172"/>
      <c r="O66" s="1172"/>
      <c r="P66" s="1244"/>
    </row>
    <row r="67" spans="1:17" ht="13.5" customHeight="1" x14ac:dyDescent="0.2">
      <c r="A67" s="2683" t="s">
        <v>1182</v>
      </c>
      <c r="B67" s="2684"/>
      <c r="C67" s="2691"/>
      <c r="D67" s="2692"/>
      <c r="F67" s="1171"/>
      <c r="G67" s="1164"/>
      <c r="I67" s="1172"/>
      <c r="J67" s="1172"/>
      <c r="K67" s="1172"/>
      <c r="L67" s="1172"/>
      <c r="M67" s="1172"/>
      <c r="N67" s="1172"/>
      <c r="O67" s="1172"/>
      <c r="P67" s="1244"/>
    </row>
    <row r="68" spans="1:17" s="1177" customFormat="1" ht="13.5" customHeight="1" x14ac:dyDescent="0.2">
      <c r="A68" s="1743" t="s">
        <v>1156</v>
      </c>
      <c r="B68" s="1744" t="s">
        <v>2280</v>
      </c>
      <c r="C68" s="1758"/>
      <c r="D68" s="1759"/>
      <c r="E68" s="1161"/>
      <c r="F68" s="1173"/>
      <c r="G68" s="1174"/>
      <c r="H68" s="1175"/>
      <c r="I68" s="1176"/>
      <c r="J68" s="1176"/>
      <c r="K68" s="1176"/>
      <c r="L68" s="1176"/>
      <c r="M68" s="1176"/>
      <c r="N68" s="1176"/>
      <c r="O68" s="1176"/>
      <c r="P68" s="1244"/>
      <c r="Q68" s="1159"/>
    </row>
    <row r="69" spans="1:17" ht="13.5" customHeight="1" x14ac:dyDescent="0.2">
      <c r="A69" s="1743" t="s">
        <v>1148</v>
      </c>
      <c r="B69" s="1982" t="s">
        <v>2274</v>
      </c>
      <c r="C69" s="1758"/>
      <c r="D69" s="1759"/>
      <c r="F69" s="1171"/>
      <c r="G69" s="1164"/>
      <c r="I69" s="1172"/>
      <c r="J69" s="1172"/>
      <c r="K69" s="1172"/>
      <c r="L69" s="1172"/>
      <c r="M69" s="1172"/>
      <c r="N69" s="1172"/>
      <c r="O69" s="1172"/>
      <c r="P69" s="1244"/>
    </row>
    <row r="70" spans="1:17" ht="13.5" customHeight="1" x14ac:dyDescent="0.2">
      <c r="A70" s="1743" t="s">
        <v>1160</v>
      </c>
      <c r="B70" s="1982" t="s">
        <v>2281</v>
      </c>
      <c r="C70" s="1758"/>
      <c r="D70" s="1759"/>
      <c r="F70" s="1171"/>
      <c r="G70" s="1164"/>
      <c r="I70" s="1172"/>
      <c r="J70" s="1172"/>
      <c r="K70" s="1172"/>
      <c r="L70" s="1172"/>
      <c r="M70" s="1172"/>
      <c r="N70" s="1172"/>
      <c r="O70" s="1172"/>
      <c r="P70" s="1244"/>
    </row>
    <row r="71" spans="1:17" ht="13.5" customHeight="1" x14ac:dyDescent="0.2">
      <c r="A71" s="1743" t="s">
        <v>1150</v>
      </c>
      <c r="B71" s="1982" t="s">
        <v>2275</v>
      </c>
      <c r="C71" s="1758"/>
      <c r="D71" s="1759"/>
      <c r="F71" s="1171"/>
      <c r="G71" s="1164"/>
      <c r="I71" s="1172"/>
      <c r="J71" s="1172"/>
      <c r="K71" s="1172"/>
      <c r="L71" s="1172"/>
      <c r="M71" s="1172"/>
      <c r="N71" s="1172"/>
      <c r="O71" s="1172"/>
      <c r="P71" s="1244"/>
    </row>
    <row r="72" spans="1:17" ht="13.5" customHeight="1" x14ac:dyDescent="0.2">
      <c r="A72" s="1743" t="s">
        <v>1163</v>
      </c>
      <c r="B72" s="1984" t="s">
        <v>2282</v>
      </c>
      <c r="C72" s="1758"/>
      <c r="D72" s="1759"/>
      <c r="F72" s="1171"/>
      <c r="G72" s="1164"/>
      <c r="I72" s="1172"/>
      <c r="J72" s="1172"/>
      <c r="K72" s="1172"/>
      <c r="L72" s="1172"/>
      <c r="M72" s="1172"/>
      <c r="N72" s="1172"/>
      <c r="O72" s="1172"/>
      <c r="P72" s="1244"/>
    </row>
    <row r="73" spans="1:17" ht="13.5" customHeight="1" x14ac:dyDescent="0.2">
      <c r="A73" s="2683" t="s">
        <v>1182</v>
      </c>
      <c r="B73" s="2684"/>
      <c r="C73" s="2687"/>
      <c r="D73" s="2688"/>
      <c r="F73" s="1171"/>
      <c r="G73" s="1164"/>
      <c r="I73" s="1172"/>
      <c r="J73" s="1172"/>
      <c r="K73" s="1172"/>
      <c r="L73" s="1172"/>
      <c r="M73" s="1172"/>
      <c r="N73" s="1172"/>
      <c r="O73" s="1172"/>
      <c r="P73" s="1244"/>
    </row>
    <row r="74" spans="1:17" ht="13.5" customHeight="1" x14ac:dyDescent="0.2">
      <c r="A74" s="1743" t="s">
        <v>1156</v>
      </c>
      <c r="B74" s="1744"/>
      <c r="C74" s="1758"/>
      <c r="D74" s="1759"/>
      <c r="F74" s="1171"/>
      <c r="G74" s="1164"/>
      <c r="I74" s="1172"/>
      <c r="J74" s="1172"/>
      <c r="K74" s="1172"/>
      <c r="L74" s="1172"/>
      <c r="M74" s="1172"/>
      <c r="N74" s="1172"/>
      <c r="O74" s="1172"/>
      <c r="P74" s="1244"/>
    </row>
    <row r="75" spans="1:17" ht="13.5" customHeight="1" x14ac:dyDescent="0.2">
      <c r="A75" s="1743" t="s">
        <v>1148</v>
      </c>
      <c r="B75" s="1744"/>
      <c r="C75" s="1758"/>
      <c r="D75" s="1759"/>
      <c r="F75" s="1171"/>
      <c r="G75" s="1164"/>
      <c r="I75" s="1172"/>
      <c r="J75" s="1172"/>
      <c r="K75" s="1172"/>
      <c r="L75" s="1172"/>
      <c r="M75" s="1172"/>
      <c r="N75" s="1172"/>
      <c r="O75" s="1172"/>
      <c r="P75" s="1244"/>
    </row>
    <row r="76" spans="1:17" s="1159" customFormat="1" ht="13.5" customHeight="1" x14ac:dyDescent="0.2">
      <c r="A76" s="1743" t="s">
        <v>1160</v>
      </c>
      <c r="B76" s="1744"/>
      <c r="C76" s="1758"/>
      <c r="D76" s="1759"/>
      <c r="E76" s="1158"/>
      <c r="F76" s="1171"/>
      <c r="G76" s="1164"/>
      <c r="I76" s="1172"/>
      <c r="J76" s="1172"/>
      <c r="K76" s="1172"/>
      <c r="L76" s="1172"/>
      <c r="M76" s="1172"/>
      <c r="N76" s="1172"/>
      <c r="O76" s="1172"/>
      <c r="P76" s="1244"/>
    </row>
    <row r="77" spans="1:17" s="1159" customFormat="1" ht="13.5" customHeight="1" x14ac:dyDescent="0.2">
      <c r="A77" s="1743" t="s">
        <v>1150</v>
      </c>
      <c r="B77" s="1744"/>
      <c r="C77" s="1758"/>
      <c r="D77" s="1759"/>
      <c r="E77" s="1158"/>
      <c r="F77" s="1171"/>
      <c r="G77" s="1164"/>
      <c r="I77" s="1172"/>
      <c r="J77" s="1172"/>
      <c r="K77" s="1172"/>
      <c r="L77" s="1172"/>
      <c r="M77" s="1172"/>
      <c r="N77" s="1172"/>
      <c r="O77" s="1172"/>
      <c r="P77" s="1244"/>
    </row>
    <row r="78" spans="1:17" s="1159" customFormat="1" ht="13.5" customHeight="1" x14ac:dyDescent="0.2">
      <c r="A78" s="1743" t="s">
        <v>1163</v>
      </c>
      <c r="B78" s="1744"/>
      <c r="C78" s="1758"/>
      <c r="D78" s="1759"/>
      <c r="E78" s="1158"/>
      <c r="F78" s="1171"/>
      <c r="G78" s="1164"/>
      <c r="I78" s="1172"/>
      <c r="J78" s="1172"/>
      <c r="K78" s="1172"/>
      <c r="L78" s="1172"/>
      <c r="M78" s="1172"/>
      <c r="N78" s="1172"/>
      <c r="O78" s="1172"/>
      <c r="P78" s="1244"/>
    </row>
    <row r="79" spans="1:17" s="1159" customFormat="1" ht="13.5" customHeight="1" x14ac:dyDescent="0.2">
      <c r="A79" s="2683" t="s">
        <v>1182</v>
      </c>
      <c r="B79" s="2684"/>
      <c r="C79" s="2687"/>
      <c r="D79" s="2688"/>
      <c r="E79" s="1158"/>
      <c r="F79" s="1171"/>
      <c r="G79" s="1164"/>
      <c r="I79" s="1172"/>
      <c r="J79" s="1172"/>
      <c r="K79" s="1172"/>
      <c r="L79" s="1172"/>
      <c r="M79" s="1172"/>
      <c r="N79" s="1172"/>
      <c r="O79" s="1172"/>
      <c r="P79" s="1244"/>
    </row>
    <row r="80" spans="1:17" s="1159" customFormat="1" ht="13.5" customHeight="1" x14ac:dyDescent="0.2">
      <c r="A80" s="1743" t="s">
        <v>1156</v>
      </c>
      <c r="B80" s="1744"/>
      <c r="C80" s="1758"/>
      <c r="D80" s="1759"/>
      <c r="E80" s="1158"/>
      <c r="F80" s="1171"/>
      <c r="G80" s="1164"/>
      <c r="I80" s="1172"/>
      <c r="J80" s="1172"/>
      <c r="K80" s="1172"/>
      <c r="L80" s="1172"/>
      <c r="M80" s="1172"/>
      <c r="N80" s="1172"/>
      <c r="O80" s="1172"/>
      <c r="P80" s="1244"/>
    </row>
    <row r="81" spans="1:25" s="1159" customFormat="1" ht="13.5" customHeight="1" x14ac:dyDescent="0.2">
      <c r="A81" s="1743" t="s">
        <v>1148</v>
      </c>
      <c r="B81" s="1744"/>
      <c r="C81" s="1758"/>
      <c r="D81" s="1759"/>
      <c r="E81" s="1158"/>
      <c r="F81" s="1171"/>
      <c r="G81" s="1164"/>
      <c r="I81" s="1172"/>
      <c r="J81" s="1172"/>
      <c r="K81" s="1172"/>
      <c r="L81" s="1172"/>
      <c r="M81" s="1172"/>
      <c r="N81" s="1172"/>
      <c r="O81" s="1172"/>
      <c r="P81" s="1244"/>
    </row>
    <row r="82" spans="1:25" s="1159" customFormat="1" ht="13.5" customHeight="1" x14ac:dyDescent="0.2">
      <c r="A82" s="1743" t="s">
        <v>1160</v>
      </c>
      <c r="B82" s="1744"/>
      <c r="C82" s="1758"/>
      <c r="D82" s="1759"/>
      <c r="E82" s="1158"/>
      <c r="F82" s="1171"/>
      <c r="G82" s="1164"/>
      <c r="I82" s="1172"/>
      <c r="J82" s="1172"/>
      <c r="K82" s="1172"/>
      <c r="L82" s="1172"/>
      <c r="M82" s="1172"/>
      <c r="N82" s="1172"/>
      <c r="O82" s="1172"/>
      <c r="P82" s="1244"/>
    </row>
    <row r="83" spans="1:25" s="1159" customFormat="1" ht="13.5" customHeight="1" x14ac:dyDescent="0.2">
      <c r="A83" s="1743" t="s">
        <v>1150</v>
      </c>
      <c r="B83" s="1744"/>
      <c r="C83" s="1758"/>
      <c r="D83" s="1759"/>
      <c r="E83" s="1158"/>
      <c r="F83" s="1171"/>
      <c r="G83" s="1164"/>
      <c r="I83" s="1172"/>
      <c r="J83" s="1172"/>
      <c r="K83" s="1172"/>
      <c r="L83" s="1172"/>
      <c r="M83" s="1172"/>
      <c r="N83" s="1172"/>
      <c r="O83" s="1172"/>
      <c r="P83" s="1244"/>
    </row>
    <row r="84" spans="1:25" s="1159" customFormat="1" ht="13.5" customHeight="1" x14ac:dyDescent="0.2">
      <c r="A84" s="1743" t="s">
        <v>1163</v>
      </c>
      <c r="B84" s="1744"/>
      <c r="C84" s="1747"/>
      <c r="D84" s="1753"/>
      <c r="E84" s="1158"/>
      <c r="F84" s="1171"/>
      <c r="G84" s="1164"/>
      <c r="I84" s="1172"/>
      <c r="J84" s="1172"/>
      <c r="K84" s="1172"/>
      <c r="L84" s="1172"/>
      <c r="M84" s="1172"/>
      <c r="N84" s="1172"/>
      <c r="O84" s="1172"/>
      <c r="P84" s="1244"/>
    </row>
    <row r="85" spans="1:25" s="1159" customFormat="1" ht="12.75" customHeight="1" x14ac:dyDescent="0.2">
      <c r="A85" s="895"/>
      <c r="B85" s="895"/>
      <c r="C85" s="1710"/>
      <c r="D85" s="1710"/>
      <c r="E85" s="1158"/>
      <c r="F85" s="1171"/>
      <c r="G85" s="1164"/>
      <c r="I85" s="1172"/>
      <c r="J85" s="1172"/>
      <c r="K85" s="1172"/>
      <c r="L85" s="1172"/>
      <c r="M85" s="1172"/>
      <c r="N85" s="1172"/>
      <c r="O85" s="1172"/>
      <c r="P85" s="1244"/>
    </row>
    <row r="86" spans="1:25" s="1159" customFormat="1" ht="12.75" customHeight="1" x14ac:dyDescent="0.2">
      <c r="A86" s="895"/>
      <c r="B86" s="895"/>
      <c r="C86" s="895"/>
      <c r="D86" s="895"/>
      <c r="E86" s="1158"/>
      <c r="F86" s="1171"/>
      <c r="G86" s="1164"/>
      <c r="I86" s="1172"/>
      <c r="J86" s="1172"/>
      <c r="K86" s="1172"/>
      <c r="L86" s="1172"/>
      <c r="M86" s="1172"/>
      <c r="N86" s="1172"/>
      <c r="O86" s="1172"/>
      <c r="P86" s="1244"/>
    </row>
    <row r="87" spans="1:25" s="1159" customFormat="1" ht="12.75" customHeight="1" x14ac:dyDescent="0.25">
      <c r="A87" s="1723"/>
      <c r="B87" s="1136"/>
      <c r="C87" s="1136"/>
      <c r="D87" s="1136"/>
      <c r="E87" s="1158"/>
      <c r="F87" s="1171"/>
      <c r="G87" s="1164"/>
      <c r="I87" s="1172"/>
      <c r="J87" s="1172"/>
      <c r="K87" s="1172"/>
      <c r="L87" s="1172"/>
      <c r="M87" s="1172"/>
      <c r="N87" s="1172"/>
      <c r="O87" s="1172"/>
      <c r="P87" s="1244"/>
    </row>
    <row r="88" spans="1:25" s="1159" customFormat="1" ht="12.75" customHeight="1" x14ac:dyDescent="0.2">
      <c r="A88" s="895"/>
      <c r="B88" s="895"/>
      <c r="C88" s="895"/>
      <c r="D88" s="895"/>
      <c r="E88" s="1158"/>
      <c r="F88" s="1171"/>
      <c r="G88" s="1164"/>
      <c r="I88" s="1172"/>
      <c r="J88" s="1172"/>
      <c r="K88" s="1172"/>
      <c r="L88" s="1172"/>
      <c r="M88" s="1172"/>
      <c r="N88" s="1172"/>
      <c r="O88" s="1172"/>
      <c r="P88" s="1244"/>
    </row>
    <row r="89" spans="1:25" s="1178" customFormat="1" ht="12.75" customHeight="1" x14ac:dyDescent="0.2">
      <c r="A89" s="1710"/>
      <c r="B89" s="1710"/>
      <c r="C89" s="1710"/>
      <c r="D89" s="1710"/>
      <c r="E89" s="1179"/>
      <c r="F89" s="1171"/>
      <c r="G89" s="1164"/>
      <c r="I89" s="1172"/>
      <c r="J89" s="1172"/>
      <c r="K89" s="1172"/>
      <c r="L89" s="1172"/>
      <c r="M89" s="1172"/>
      <c r="N89" s="1172"/>
      <c r="O89" s="1172"/>
      <c r="P89" s="1244"/>
      <c r="Q89" s="1159"/>
    </row>
    <row r="90" spans="1:25" s="1172" customFormat="1" ht="12.75" customHeight="1" x14ac:dyDescent="0.2">
      <c r="A90" s="1710"/>
      <c r="B90" s="1710"/>
      <c r="C90" s="1710"/>
      <c r="D90" s="1710"/>
      <c r="E90" s="1180"/>
      <c r="F90" s="1171"/>
      <c r="G90" s="1164"/>
      <c r="P90" s="1244"/>
      <c r="Q90" s="1159"/>
    </row>
    <row r="91" spans="1:25" s="1172" customFormat="1" ht="12.75" customHeight="1" x14ac:dyDescent="0.2">
      <c r="A91" s="1710"/>
      <c r="B91" s="1710"/>
      <c r="C91" s="1710"/>
      <c r="D91" s="1710"/>
      <c r="E91" s="1180"/>
      <c r="F91" s="1171"/>
      <c r="G91" s="1164"/>
      <c r="P91" s="1244"/>
      <c r="Q91" s="1159"/>
    </row>
    <row r="92" spans="1:25" s="1159" customFormat="1" ht="12.75" customHeight="1" x14ac:dyDescent="0.2">
      <c r="A92" s="1760"/>
      <c r="B92" s="1710"/>
      <c r="C92" s="1710"/>
      <c r="D92" s="1710"/>
      <c r="E92" s="1158"/>
      <c r="I92" s="1172"/>
      <c r="J92" s="1172"/>
      <c r="K92" s="1172"/>
      <c r="L92" s="1172"/>
      <c r="M92" s="1172"/>
      <c r="N92" s="1172"/>
      <c r="O92" s="1172"/>
      <c r="P92" s="1244"/>
    </row>
    <row r="93" spans="1:25" s="1159" customFormat="1" ht="12.75" customHeight="1" x14ac:dyDescent="0.2">
      <c r="A93" s="1761"/>
      <c r="B93" s="1710"/>
      <c r="C93" s="1710"/>
      <c r="D93" s="1710"/>
      <c r="E93" s="1158"/>
      <c r="I93" s="1172"/>
      <c r="J93" s="1172"/>
      <c r="K93" s="1172"/>
      <c r="L93" s="1172"/>
      <c r="M93" s="1172"/>
      <c r="N93" s="1172"/>
      <c r="O93" s="1172"/>
      <c r="P93" s="1244"/>
    </row>
    <row r="94" spans="1:25" s="1159" customFormat="1" ht="12.75" customHeight="1" x14ac:dyDescent="0.2">
      <c r="A94" s="1761"/>
      <c r="B94" s="1710"/>
      <c r="C94" s="1710"/>
      <c r="D94" s="1710"/>
      <c r="E94" s="1158"/>
      <c r="I94" s="1172"/>
      <c r="J94" s="1172"/>
      <c r="K94" s="1172"/>
      <c r="L94" s="1172"/>
      <c r="M94" s="1172"/>
      <c r="N94" s="1172"/>
      <c r="O94" s="1172"/>
      <c r="P94" s="1244"/>
    </row>
    <row r="95" spans="1:25" s="1159" customFormat="1" ht="12.75" customHeight="1" x14ac:dyDescent="0.2">
      <c r="A95" s="1761"/>
      <c r="B95" s="1710"/>
      <c r="C95" s="1710"/>
      <c r="D95" s="1710"/>
      <c r="E95" s="1158"/>
      <c r="I95" s="1172"/>
      <c r="J95" s="1172"/>
      <c r="K95" s="1172"/>
      <c r="L95" s="1172"/>
      <c r="M95" s="1172"/>
      <c r="N95" s="1172"/>
      <c r="O95" s="1172"/>
      <c r="P95" s="1244"/>
    </row>
    <row r="96" spans="1:25" ht="12.75" customHeight="1" x14ac:dyDescent="0.2">
      <c r="A96" s="1761"/>
      <c r="E96" s="1181"/>
      <c r="I96" s="1172"/>
      <c r="J96" s="1172"/>
      <c r="K96" s="1172"/>
      <c r="L96" s="1172"/>
      <c r="M96" s="1172"/>
      <c r="N96" s="1172"/>
      <c r="O96" s="1172"/>
      <c r="P96" s="1244"/>
      <c r="R96" s="1182"/>
      <c r="S96" s="1182"/>
      <c r="T96" s="1182"/>
      <c r="U96" s="1182"/>
      <c r="V96" s="1182"/>
      <c r="W96" s="1182"/>
      <c r="X96" s="1182"/>
      <c r="Y96" s="1182"/>
    </row>
    <row r="97" spans="1:25" ht="12.75" customHeight="1" x14ac:dyDescent="0.2">
      <c r="A97" s="1762"/>
      <c r="B97" s="1763"/>
      <c r="C97" s="1763"/>
      <c r="D97" s="1763"/>
      <c r="E97" s="1181"/>
      <c r="I97" s="1172"/>
      <c r="J97" s="1172"/>
      <c r="K97" s="1172"/>
      <c r="L97" s="1172"/>
      <c r="M97" s="1172"/>
      <c r="N97" s="1172"/>
      <c r="O97" s="1172"/>
      <c r="P97" s="1244"/>
      <c r="R97" s="1182"/>
      <c r="S97" s="1182"/>
      <c r="T97" s="1182"/>
      <c r="U97" s="1182"/>
      <c r="V97" s="1182"/>
      <c r="W97" s="1182"/>
      <c r="X97" s="1182"/>
      <c r="Y97" s="1182"/>
    </row>
    <row r="98" spans="1:25" ht="12.75" customHeight="1" x14ac:dyDescent="0.2">
      <c r="A98" s="1762"/>
      <c r="B98" s="1763"/>
      <c r="C98" s="1763"/>
      <c r="D98" s="1763"/>
      <c r="E98" s="1181"/>
      <c r="I98" s="1172"/>
      <c r="J98" s="1172"/>
      <c r="K98" s="1172"/>
      <c r="L98" s="1172"/>
      <c r="M98" s="1172"/>
      <c r="N98" s="1172"/>
      <c r="O98" s="1172"/>
      <c r="P98" s="1244"/>
      <c r="R98" s="1182"/>
      <c r="S98" s="1182"/>
      <c r="T98" s="1182"/>
      <c r="U98" s="1182"/>
      <c r="V98" s="1182"/>
      <c r="W98" s="1182"/>
      <c r="X98" s="1182"/>
      <c r="Y98" s="1182"/>
    </row>
    <row r="99" spans="1:25" ht="12.75" customHeight="1" x14ac:dyDescent="0.2">
      <c r="A99" s="1762"/>
      <c r="B99" s="1763"/>
      <c r="C99" s="1763"/>
      <c r="D99" s="1763"/>
      <c r="E99" s="1181"/>
      <c r="I99" s="1172"/>
      <c r="J99" s="1172"/>
      <c r="K99" s="1172"/>
      <c r="L99" s="1172"/>
      <c r="M99" s="1172"/>
      <c r="N99" s="1172"/>
      <c r="O99" s="1172"/>
      <c r="P99" s="1244"/>
      <c r="R99" s="1182"/>
      <c r="S99" s="1182"/>
      <c r="T99" s="1182"/>
      <c r="U99" s="1182"/>
      <c r="V99" s="1182"/>
      <c r="W99" s="1182"/>
      <c r="X99" s="1182"/>
      <c r="Y99" s="1182"/>
    </row>
    <row r="100" spans="1:25" ht="12.75" customHeight="1" x14ac:dyDescent="0.2">
      <c r="A100" s="1762"/>
      <c r="B100" s="1763"/>
      <c r="C100" s="1763"/>
      <c r="D100" s="1763"/>
      <c r="E100" s="1181"/>
      <c r="I100" s="1172"/>
      <c r="J100" s="1172"/>
      <c r="K100" s="1172"/>
      <c r="L100" s="1172"/>
      <c r="M100" s="1172"/>
      <c r="N100" s="1172"/>
      <c r="O100" s="1172"/>
      <c r="P100" s="1244"/>
      <c r="R100" s="1182"/>
      <c r="S100" s="1182"/>
      <c r="T100" s="1182"/>
      <c r="U100" s="1182"/>
      <c r="V100" s="1182"/>
      <c r="W100" s="1182"/>
      <c r="X100" s="1182"/>
      <c r="Y100" s="1182"/>
    </row>
    <row r="101" spans="1:25" ht="12.75" customHeight="1" x14ac:dyDescent="0.2">
      <c r="A101" s="1762"/>
      <c r="B101" s="1763"/>
      <c r="C101" s="1763"/>
      <c r="D101" s="1763"/>
      <c r="E101" s="1181"/>
      <c r="I101" s="1172"/>
      <c r="J101" s="1172"/>
      <c r="K101" s="1172"/>
      <c r="L101" s="1172"/>
      <c r="M101" s="1172"/>
      <c r="N101" s="1172"/>
      <c r="O101" s="1172"/>
      <c r="P101" s="1244"/>
      <c r="R101" s="1182"/>
      <c r="S101" s="1182"/>
      <c r="T101" s="1182"/>
      <c r="U101" s="1182"/>
      <c r="V101" s="1182"/>
      <c r="W101" s="1182"/>
      <c r="X101" s="1182"/>
      <c r="Y101" s="1182"/>
    </row>
    <row r="102" spans="1:25" ht="12.75" customHeight="1" x14ac:dyDescent="0.2">
      <c r="A102" s="1762"/>
      <c r="B102" s="1763"/>
      <c r="C102" s="1763"/>
      <c r="D102" s="1763"/>
      <c r="E102" s="1181"/>
      <c r="I102" s="1172"/>
      <c r="J102" s="1172"/>
      <c r="K102" s="1172"/>
      <c r="L102" s="1172"/>
      <c r="M102" s="1172"/>
      <c r="N102" s="1172"/>
      <c r="O102" s="1172"/>
      <c r="P102" s="1244"/>
      <c r="R102" s="1182"/>
      <c r="S102" s="1182"/>
      <c r="T102" s="1182"/>
      <c r="U102" s="1182"/>
      <c r="V102" s="1182"/>
      <c r="W102" s="1182"/>
      <c r="X102" s="1182"/>
      <c r="Y102" s="1182"/>
    </row>
    <row r="103" spans="1:25" ht="12.75" customHeight="1" x14ac:dyDescent="0.2">
      <c r="A103" s="1762"/>
      <c r="B103" s="1763"/>
      <c r="C103" s="1763"/>
      <c r="D103" s="1763"/>
      <c r="E103" s="1181"/>
      <c r="I103" s="1172"/>
      <c r="J103" s="1172"/>
      <c r="K103" s="1172"/>
      <c r="L103" s="1172"/>
      <c r="M103" s="1172"/>
      <c r="N103" s="1172"/>
      <c r="O103" s="1172"/>
      <c r="P103" s="1244"/>
      <c r="R103" s="1182"/>
      <c r="S103" s="1182"/>
      <c r="T103" s="1182"/>
      <c r="U103" s="1182"/>
      <c r="V103" s="1182"/>
      <c r="W103" s="1182"/>
      <c r="X103" s="1182"/>
      <c r="Y103" s="1182"/>
    </row>
    <row r="104" spans="1:25" ht="12.75" customHeight="1" x14ac:dyDescent="0.2">
      <c r="A104" s="1762"/>
      <c r="B104" s="1763"/>
      <c r="C104" s="1763"/>
      <c r="D104" s="1763"/>
      <c r="E104" s="1181"/>
      <c r="I104" s="1172"/>
      <c r="J104" s="1172"/>
      <c r="K104" s="1172"/>
      <c r="L104" s="1172"/>
      <c r="M104" s="1172"/>
      <c r="N104" s="1172"/>
      <c r="O104" s="1172"/>
      <c r="P104" s="1244"/>
      <c r="R104" s="1182"/>
      <c r="S104" s="1182"/>
      <c r="T104" s="1182"/>
      <c r="U104" s="1182"/>
      <c r="V104" s="1182"/>
      <c r="W104" s="1182"/>
      <c r="X104" s="1182"/>
      <c r="Y104" s="1182"/>
    </row>
    <row r="105" spans="1:25" ht="12.75" customHeight="1" x14ac:dyDescent="0.2">
      <c r="A105" s="1762"/>
      <c r="B105" s="1763"/>
      <c r="C105" s="1763"/>
      <c r="D105" s="1763"/>
      <c r="E105" s="1181"/>
      <c r="I105" s="1172"/>
      <c r="J105" s="1172"/>
      <c r="K105" s="1172"/>
      <c r="L105" s="1172"/>
      <c r="M105" s="1172"/>
      <c r="N105" s="1172"/>
      <c r="O105" s="1172"/>
      <c r="P105" s="1244"/>
      <c r="R105" s="1182"/>
      <c r="S105" s="1182"/>
      <c r="T105" s="1182"/>
      <c r="U105" s="1182"/>
      <c r="V105" s="1182"/>
      <c r="W105" s="1182"/>
      <c r="X105" s="1182"/>
      <c r="Y105" s="1182"/>
    </row>
    <row r="106" spans="1:25" ht="12.75" customHeight="1" x14ac:dyDescent="0.2">
      <c r="A106" s="1762"/>
      <c r="B106" s="1763"/>
      <c r="C106" s="1763"/>
      <c r="D106" s="1763"/>
      <c r="E106" s="1181"/>
      <c r="I106" s="1172"/>
      <c r="J106" s="1172"/>
      <c r="K106" s="1172"/>
      <c r="L106" s="1172"/>
      <c r="M106" s="1172"/>
      <c r="N106" s="1172"/>
      <c r="O106" s="1172"/>
      <c r="P106" s="1244"/>
      <c r="R106" s="1182"/>
      <c r="S106" s="1182"/>
      <c r="T106" s="1182"/>
      <c r="U106" s="1182"/>
      <c r="V106" s="1182"/>
      <c r="W106" s="1182"/>
      <c r="X106" s="1182"/>
      <c r="Y106" s="1182"/>
    </row>
    <row r="107" spans="1:25" ht="12.75" customHeight="1" x14ac:dyDescent="0.2">
      <c r="A107" s="1762"/>
      <c r="B107" s="1763"/>
      <c r="C107" s="1763"/>
      <c r="D107" s="1763"/>
      <c r="E107" s="1181"/>
      <c r="I107" s="1172"/>
      <c r="J107" s="1172"/>
      <c r="K107" s="1172"/>
      <c r="L107" s="1172"/>
      <c r="M107" s="1172"/>
      <c r="N107" s="1172"/>
      <c r="O107" s="1172"/>
      <c r="P107" s="1244"/>
      <c r="R107" s="1182"/>
      <c r="S107" s="1182"/>
      <c r="T107" s="1182"/>
      <c r="U107" s="1182"/>
      <c r="V107" s="1182"/>
      <c r="W107" s="1182"/>
      <c r="X107" s="1182"/>
      <c r="Y107" s="1182"/>
    </row>
    <row r="108" spans="1:25" ht="12.75" customHeight="1" x14ac:dyDescent="0.2">
      <c r="A108" s="1762"/>
      <c r="B108" s="1763"/>
      <c r="C108" s="1763"/>
      <c r="D108" s="1763"/>
      <c r="E108" s="1181"/>
      <c r="I108" s="1172"/>
      <c r="J108" s="1172"/>
      <c r="K108" s="1172"/>
      <c r="L108" s="1172"/>
      <c r="M108" s="1172"/>
      <c r="N108" s="1172"/>
      <c r="O108" s="1172"/>
      <c r="P108" s="1244"/>
      <c r="R108" s="1182"/>
      <c r="S108" s="1182"/>
      <c r="T108" s="1182"/>
      <c r="U108" s="1182"/>
      <c r="V108" s="1182"/>
      <c r="W108" s="1182"/>
      <c r="X108" s="1182"/>
      <c r="Y108" s="1182"/>
    </row>
    <row r="109" spans="1:25" ht="12.75" customHeight="1" x14ac:dyDescent="0.2">
      <c r="A109" s="1762"/>
      <c r="B109" s="1763"/>
      <c r="C109" s="1763"/>
      <c r="D109" s="1763"/>
      <c r="E109" s="1181"/>
      <c r="I109" s="1172"/>
      <c r="J109" s="1172"/>
      <c r="K109" s="1172"/>
      <c r="L109" s="1172"/>
      <c r="M109" s="1172"/>
      <c r="N109" s="1172"/>
      <c r="O109" s="1172"/>
      <c r="P109" s="1244"/>
      <c r="R109" s="1182"/>
      <c r="S109" s="1182"/>
      <c r="T109" s="1182"/>
      <c r="U109" s="1182"/>
      <c r="V109" s="1182"/>
      <c r="W109" s="1182"/>
      <c r="X109" s="1182"/>
      <c r="Y109" s="1182"/>
    </row>
    <row r="110" spans="1:25" ht="12.75" customHeight="1" x14ac:dyDescent="0.2">
      <c r="A110" s="1762"/>
      <c r="B110" s="1763"/>
      <c r="C110" s="1763"/>
      <c r="D110" s="1763"/>
      <c r="E110" s="1181"/>
      <c r="I110" s="1172"/>
      <c r="J110" s="1172"/>
      <c r="K110" s="1172"/>
      <c r="L110" s="1172"/>
      <c r="M110" s="1172"/>
      <c r="N110" s="1172"/>
      <c r="O110" s="1172"/>
      <c r="P110" s="1244"/>
      <c r="R110" s="1182"/>
      <c r="S110" s="1182"/>
      <c r="T110" s="1182"/>
      <c r="U110" s="1182"/>
      <c r="V110" s="1182"/>
      <c r="W110" s="1182"/>
      <c r="X110" s="1182"/>
      <c r="Y110" s="1182"/>
    </row>
    <row r="111" spans="1:25" ht="12.75" customHeight="1" x14ac:dyDescent="0.2">
      <c r="A111" s="1762"/>
      <c r="B111" s="1763"/>
      <c r="C111" s="1763"/>
      <c r="D111" s="1763"/>
      <c r="E111" s="1181"/>
      <c r="I111" s="1172"/>
      <c r="J111" s="1172"/>
      <c r="K111" s="1172"/>
      <c r="L111" s="1172"/>
      <c r="M111" s="1172"/>
      <c r="N111" s="1172"/>
      <c r="O111" s="1172"/>
      <c r="P111" s="1244"/>
      <c r="R111" s="1182"/>
      <c r="S111" s="1182"/>
      <c r="T111" s="1182"/>
      <c r="U111" s="1182"/>
      <c r="V111" s="1182"/>
      <c r="W111" s="1182"/>
      <c r="X111" s="1182"/>
      <c r="Y111" s="1182"/>
    </row>
    <row r="112" spans="1:25" ht="12.75" customHeight="1" x14ac:dyDescent="0.2">
      <c r="A112" s="1762"/>
      <c r="B112" s="1763"/>
      <c r="C112" s="1763"/>
      <c r="D112" s="1763"/>
      <c r="E112" s="1181"/>
      <c r="I112" s="1172"/>
      <c r="J112" s="1172"/>
      <c r="K112" s="1172"/>
      <c r="L112" s="1172"/>
      <c r="M112" s="1172"/>
      <c r="N112" s="1172"/>
      <c r="O112" s="1172"/>
      <c r="P112" s="1244"/>
      <c r="R112" s="1182"/>
      <c r="S112" s="1182"/>
      <c r="T112" s="1182"/>
      <c r="U112" s="1182"/>
      <c r="V112" s="1182"/>
      <c r="W112" s="1182"/>
      <c r="X112" s="1182"/>
      <c r="Y112" s="1182"/>
    </row>
    <row r="113" spans="1:25" ht="12.75" customHeight="1" x14ac:dyDescent="0.2">
      <c r="A113" s="1762"/>
      <c r="B113" s="1763"/>
      <c r="C113" s="1763"/>
      <c r="D113" s="1763"/>
      <c r="E113" s="1181"/>
      <c r="I113" s="1172"/>
      <c r="J113" s="1172"/>
      <c r="K113" s="1172"/>
      <c r="L113" s="1172"/>
      <c r="M113" s="1172"/>
      <c r="N113" s="1172"/>
      <c r="O113" s="1172"/>
      <c r="P113" s="1244"/>
      <c r="R113" s="1182"/>
      <c r="S113" s="1182"/>
      <c r="T113" s="1182"/>
      <c r="U113" s="1182"/>
      <c r="V113" s="1182"/>
      <c r="W113" s="1182"/>
      <c r="X113" s="1182"/>
      <c r="Y113" s="1182"/>
    </row>
    <row r="114" spans="1:25" ht="12.75" customHeight="1" x14ac:dyDescent="0.2">
      <c r="A114" s="1762"/>
      <c r="B114" s="1763"/>
      <c r="C114" s="1763"/>
      <c r="D114" s="1763"/>
      <c r="E114" s="1181"/>
      <c r="I114" s="1172"/>
      <c r="J114" s="1172"/>
      <c r="K114" s="1172"/>
      <c r="L114" s="1172"/>
      <c r="M114" s="1172"/>
      <c r="N114" s="1172"/>
      <c r="O114" s="1172"/>
      <c r="P114" s="1244"/>
      <c r="R114" s="1182"/>
      <c r="S114" s="1182"/>
      <c r="T114" s="1182"/>
      <c r="U114" s="1182"/>
      <c r="V114" s="1182"/>
      <c r="W114" s="1182"/>
      <c r="X114" s="1182"/>
      <c r="Y114" s="1182"/>
    </row>
    <row r="115" spans="1:25" ht="12.75" customHeight="1" x14ac:dyDescent="0.2">
      <c r="A115" s="1762"/>
      <c r="B115" s="1763"/>
      <c r="C115" s="1763"/>
      <c r="D115" s="1763"/>
      <c r="E115" s="1181"/>
      <c r="I115" s="1172"/>
      <c r="J115" s="1172"/>
      <c r="K115" s="1172"/>
      <c r="L115" s="1172"/>
      <c r="M115" s="1172"/>
      <c r="N115" s="1172"/>
      <c r="O115" s="1172"/>
      <c r="P115" s="1244"/>
      <c r="R115" s="1182"/>
      <c r="S115" s="1182"/>
      <c r="T115" s="1182"/>
      <c r="U115" s="1182"/>
      <c r="V115" s="1182"/>
      <c r="W115" s="1182"/>
      <c r="X115" s="1182"/>
      <c r="Y115" s="1182"/>
    </row>
    <row r="116" spans="1:25" ht="12.75" customHeight="1" x14ac:dyDescent="0.2">
      <c r="A116" s="1762"/>
      <c r="B116" s="1763"/>
      <c r="C116" s="1763"/>
      <c r="D116" s="1763"/>
      <c r="E116" s="1181"/>
      <c r="I116" s="1172"/>
      <c r="J116" s="1172"/>
      <c r="K116" s="1172"/>
      <c r="L116" s="1172"/>
      <c r="M116" s="1172"/>
      <c r="N116" s="1172"/>
      <c r="O116" s="1172"/>
      <c r="P116" s="1244"/>
      <c r="R116" s="1182"/>
      <c r="S116" s="1182"/>
      <c r="T116" s="1182"/>
      <c r="U116" s="1182"/>
      <c r="V116" s="1182"/>
      <c r="W116" s="1182"/>
      <c r="X116" s="1182"/>
      <c r="Y116" s="1182"/>
    </row>
    <row r="117" spans="1:25" ht="12.75" customHeight="1" x14ac:dyDescent="0.2">
      <c r="A117" s="1762"/>
      <c r="B117" s="1763"/>
      <c r="C117" s="1763"/>
      <c r="D117" s="1763"/>
      <c r="E117" s="1181"/>
      <c r="I117" s="1172"/>
      <c r="J117" s="1172"/>
      <c r="K117" s="1172"/>
      <c r="L117" s="1172"/>
      <c r="M117" s="1172"/>
      <c r="N117" s="1172"/>
      <c r="O117" s="1172"/>
      <c r="P117" s="1244"/>
      <c r="R117" s="1182"/>
      <c r="S117" s="1182"/>
      <c r="T117" s="1182"/>
      <c r="U117" s="1182"/>
      <c r="V117" s="1182"/>
      <c r="W117" s="1182"/>
      <c r="X117" s="1182"/>
      <c r="Y117" s="1182"/>
    </row>
    <row r="118" spans="1:25" ht="12.75" customHeight="1" x14ac:dyDescent="0.2">
      <c r="A118" s="1762"/>
      <c r="B118" s="1763"/>
      <c r="C118" s="1763"/>
      <c r="D118" s="1763"/>
      <c r="E118" s="1181"/>
      <c r="I118" s="1172"/>
      <c r="J118" s="1172"/>
      <c r="K118" s="1172"/>
      <c r="L118" s="1172"/>
      <c r="M118" s="1172"/>
      <c r="N118" s="1172"/>
      <c r="O118" s="1172"/>
      <c r="P118" s="1244"/>
      <c r="R118" s="1182"/>
      <c r="S118" s="1182"/>
      <c r="T118" s="1182"/>
      <c r="U118" s="1182"/>
      <c r="V118" s="1182"/>
      <c r="W118" s="1182"/>
      <c r="X118" s="1182"/>
      <c r="Y118" s="1182"/>
    </row>
    <row r="119" spans="1:25" ht="12.75" customHeight="1" x14ac:dyDescent="0.2">
      <c r="A119" s="1763"/>
      <c r="B119" s="1763"/>
      <c r="C119" s="1763"/>
      <c r="D119" s="1763"/>
      <c r="E119" s="1181"/>
      <c r="I119" s="1172"/>
      <c r="J119" s="1172"/>
      <c r="K119" s="1172"/>
      <c r="L119" s="1172"/>
      <c r="M119" s="1172"/>
      <c r="N119" s="1172"/>
      <c r="O119" s="1172"/>
      <c r="P119" s="1244"/>
      <c r="R119" s="1182"/>
      <c r="S119" s="1182"/>
      <c r="T119" s="1182"/>
      <c r="U119" s="1182"/>
      <c r="V119" s="1182"/>
      <c r="W119" s="1182"/>
      <c r="X119" s="1182"/>
      <c r="Y119" s="1182"/>
    </row>
    <row r="120" spans="1:25" ht="12.75" customHeight="1" x14ac:dyDescent="0.2">
      <c r="A120" s="1763"/>
      <c r="B120" s="1763"/>
      <c r="C120" s="1763"/>
      <c r="D120" s="1763"/>
      <c r="E120" s="1181"/>
      <c r="I120" s="1172"/>
      <c r="J120" s="1172"/>
      <c r="K120" s="1172"/>
      <c r="L120" s="1172"/>
      <c r="M120" s="1172"/>
      <c r="N120" s="1172"/>
      <c r="O120" s="1172"/>
      <c r="P120" s="1244"/>
      <c r="R120" s="1182"/>
      <c r="S120" s="1182"/>
      <c r="T120" s="1182"/>
      <c r="U120" s="1182"/>
      <c r="V120" s="1182"/>
      <c r="W120" s="1182"/>
      <c r="X120" s="1182"/>
      <c r="Y120" s="1182"/>
    </row>
    <row r="121" spans="1:25" ht="12.75" customHeight="1" x14ac:dyDescent="0.2">
      <c r="A121" s="1763"/>
      <c r="B121" s="1763"/>
      <c r="C121" s="1763"/>
      <c r="D121" s="1763"/>
      <c r="E121" s="1181"/>
      <c r="I121" s="1172"/>
      <c r="J121" s="1172"/>
      <c r="K121" s="1172"/>
      <c r="L121" s="1172"/>
      <c r="M121" s="1172"/>
      <c r="N121" s="1172"/>
      <c r="O121" s="1172"/>
      <c r="P121" s="1244"/>
      <c r="R121" s="1182"/>
      <c r="S121" s="1182"/>
      <c r="T121" s="1182"/>
      <c r="U121" s="1182"/>
      <c r="V121" s="1182"/>
      <c r="W121" s="1182"/>
      <c r="X121" s="1182"/>
      <c r="Y121" s="1182"/>
    </row>
    <row r="122" spans="1:25" ht="12.75" customHeight="1" x14ac:dyDescent="0.2">
      <c r="A122" s="1763"/>
      <c r="B122" s="1763"/>
      <c r="C122" s="1763"/>
      <c r="D122" s="1763"/>
      <c r="E122" s="1181"/>
      <c r="I122" s="1172"/>
      <c r="J122" s="1172"/>
      <c r="K122" s="1172"/>
      <c r="L122" s="1172"/>
      <c r="M122" s="1172"/>
      <c r="N122" s="1172"/>
      <c r="O122" s="1172"/>
      <c r="P122" s="1244"/>
      <c r="R122" s="1182"/>
      <c r="S122" s="1182"/>
      <c r="T122" s="1182"/>
      <c r="U122" s="1182"/>
      <c r="V122" s="1182"/>
      <c r="W122" s="1182"/>
      <c r="X122" s="1182"/>
      <c r="Y122" s="1182"/>
    </row>
    <row r="123" spans="1:25" ht="12.75" customHeight="1" x14ac:dyDescent="0.2">
      <c r="A123" s="1763"/>
      <c r="B123" s="1763"/>
      <c r="C123" s="1763"/>
      <c r="D123" s="1763"/>
      <c r="E123" s="1181"/>
      <c r="I123" s="1172"/>
      <c r="J123" s="1172"/>
      <c r="K123" s="1172"/>
      <c r="L123" s="1172"/>
      <c r="M123" s="1172"/>
      <c r="N123" s="1172"/>
      <c r="O123" s="1172"/>
      <c r="P123" s="1244"/>
      <c r="R123" s="1182"/>
      <c r="S123" s="1182"/>
      <c r="T123" s="1182"/>
      <c r="U123" s="1182"/>
      <c r="V123" s="1182"/>
      <c r="W123" s="1182"/>
      <c r="X123" s="1182"/>
      <c r="Y123" s="1182"/>
    </row>
    <row r="124" spans="1:25" ht="12.75" customHeight="1" x14ac:dyDescent="0.2">
      <c r="A124" s="1763"/>
      <c r="B124" s="1763"/>
      <c r="C124" s="1763"/>
      <c r="D124" s="1763"/>
      <c r="E124" s="1181"/>
      <c r="I124" s="1172"/>
      <c r="J124" s="1172"/>
      <c r="K124" s="1172"/>
      <c r="L124" s="1172"/>
      <c r="M124" s="1172"/>
      <c r="N124" s="1172"/>
      <c r="O124" s="1172"/>
      <c r="P124" s="1244"/>
      <c r="R124" s="1182"/>
      <c r="S124" s="1182"/>
      <c r="T124" s="1182"/>
      <c r="U124" s="1182"/>
      <c r="V124" s="1182"/>
      <c r="W124" s="1182"/>
      <c r="X124" s="1182"/>
      <c r="Y124" s="1182"/>
    </row>
    <row r="125" spans="1:25" ht="12.75" customHeight="1" x14ac:dyDescent="0.2">
      <c r="A125" s="1763"/>
      <c r="B125" s="1763"/>
      <c r="C125" s="1763"/>
      <c r="D125" s="1763"/>
      <c r="E125" s="1181"/>
      <c r="I125" s="1172"/>
      <c r="J125" s="1172"/>
      <c r="K125" s="1172"/>
      <c r="L125" s="1172"/>
      <c r="M125" s="1172"/>
      <c r="N125" s="1172"/>
      <c r="O125" s="1172"/>
      <c r="P125" s="1244"/>
      <c r="R125" s="1182"/>
      <c r="S125" s="1182"/>
      <c r="T125" s="1182"/>
      <c r="U125" s="1182"/>
      <c r="V125" s="1182"/>
      <c r="W125" s="1182"/>
      <c r="X125" s="1182"/>
      <c r="Y125" s="1182"/>
    </row>
    <row r="126" spans="1:25" ht="12.75" customHeight="1" x14ac:dyDescent="0.2">
      <c r="A126" s="1763"/>
      <c r="B126" s="1763"/>
      <c r="C126" s="1763"/>
      <c r="D126" s="1763"/>
      <c r="E126" s="1181"/>
      <c r="I126" s="1172"/>
      <c r="J126" s="1172"/>
      <c r="K126" s="1172"/>
      <c r="L126" s="1172"/>
      <c r="M126" s="1172"/>
      <c r="N126" s="1172"/>
      <c r="O126" s="1172"/>
      <c r="P126" s="1244"/>
      <c r="R126" s="1182"/>
      <c r="S126" s="1182"/>
      <c r="T126" s="1182"/>
      <c r="U126" s="1182"/>
      <c r="V126" s="1182"/>
      <c r="W126" s="1182"/>
      <c r="X126" s="1182"/>
      <c r="Y126" s="1182"/>
    </row>
    <row r="127" spans="1:25" ht="12.75" customHeight="1" x14ac:dyDescent="0.2">
      <c r="A127" s="1763"/>
      <c r="B127" s="1763"/>
      <c r="C127" s="1763"/>
      <c r="D127" s="1763"/>
      <c r="E127" s="1181"/>
      <c r="I127" s="1172"/>
      <c r="J127" s="1172"/>
      <c r="K127" s="1172"/>
      <c r="L127" s="1172"/>
      <c r="M127" s="1172"/>
      <c r="N127" s="1172"/>
      <c r="O127" s="1172"/>
      <c r="P127" s="1244"/>
      <c r="R127" s="1182"/>
      <c r="S127" s="1182"/>
      <c r="T127" s="1182"/>
      <c r="U127" s="1182"/>
      <c r="V127" s="1182"/>
      <c r="W127" s="1182"/>
      <c r="X127" s="1182"/>
      <c r="Y127" s="1182"/>
    </row>
    <row r="128" spans="1:25" x14ac:dyDescent="0.2">
      <c r="A128" s="1763"/>
      <c r="B128" s="1763"/>
      <c r="C128" s="1763"/>
      <c r="D128" s="1763"/>
      <c r="E128" s="1181"/>
      <c r="I128" s="1172"/>
      <c r="J128" s="1172"/>
      <c r="K128" s="1172"/>
      <c r="L128" s="1172"/>
      <c r="M128" s="1172"/>
      <c r="N128" s="1172"/>
      <c r="O128" s="1172"/>
      <c r="P128" s="1244"/>
      <c r="R128" s="1182"/>
      <c r="S128" s="1182"/>
      <c r="T128" s="1182"/>
      <c r="U128" s="1182"/>
      <c r="V128" s="1182"/>
      <c r="W128" s="1182"/>
      <c r="X128" s="1182"/>
      <c r="Y128" s="1182"/>
    </row>
    <row r="129" spans="1:25" x14ac:dyDescent="0.2">
      <c r="A129" s="1763"/>
      <c r="B129" s="1763"/>
      <c r="C129" s="1763"/>
      <c r="D129" s="1763"/>
      <c r="E129" s="1181"/>
      <c r="I129" s="1172"/>
      <c r="J129" s="1172"/>
      <c r="K129" s="1172"/>
      <c r="L129" s="1172"/>
      <c r="M129" s="1172"/>
      <c r="N129" s="1172"/>
      <c r="O129" s="1172"/>
      <c r="P129" s="1244"/>
      <c r="R129" s="1182"/>
      <c r="S129" s="1182"/>
      <c r="T129" s="1182"/>
      <c r="U129" s="1182"/>
      <c r="V129" s="1182"/>
      <c r="W129" s="1182"/>
      <c r="X129" s="1182"/>
      <c r="Y129" s="1182"/>
    </row>
    <row r="130" spans="1:25" x14ac:dyDescent="0.2">
      <c r="A130" s="1763"/>
      <c r="B130" s="1763"/>
      <c r="C130" s="1763"/>
      <c r="D130" s="1763"/>
      <c r="E130" s="1181"/>
      <c r="I130" s="1172"/>
      <c r="J130" s="1172"/>
      <c r="K130" s="1172"/>
      <c r="L130" s="1172"/>
      <c r="M130" s="1172"/>
      <c r="N130" s="1172"/>
      <c r="O130" s="1172"/>
      <c r="P130" s="1244"/>
      <c r="R130" s="1182"/>
      <c r="S130" s="1182"/>
      <c r="T130" s="1182"/>
      <c r="U130" s="1182"/>
      <c r="V130" s="1182"/>
      <c r="W130" s="1182"/>
      <c r="X130" s="1182"/>
      <c r="Y130" s="1182"/>
    </row>
    <row r="131" spans="1:25" x14ac:dyDescent="0.2">
      <c r="A131" s="1763"/>
      <c r="B131" s="1763"/>
      <c r="C131" s="1763"/>
      <c r="D131" s="1763"/>
      <c r="E131" s="1181"/>
      <c r="I131" s="1172"/>
      <c r="J131" s="1172"/>
      <c r="K131" s="1172"/>
      <c r="L131" s="1172"/>
      <c r="M131" s="1172"/>
      <c r="N131" s="1172"/>
      <c r="O131" s="1172"/>
      <c r="P131" s="1244"/>
      <c r="R131" s="1182"/>
      <c r="S131" s="1182"/>
      <c r="T131" s="1182"/>
      <c r="U131" s="1182"/>
      <c r="V131" s="1182"/>
      <c r="W131" s="1182"/>
      <c r="X131" s="1182"/>
      <c r="Y131" s="1182"/>
    </row>
    <row r="132" spans="1:25" x14ac:dyDescent="0.2">
      <c r="A132" s="1763"/>
      <c r="B132" s="1763"/>
      <c r="C132" s="1763"/>
      <c r="D132" s="1763"/>
      <c r="E132" s="1181"/>
      <c r="I132" s="1172"/>
      <c r="J132" s="1172"/>
      <c r="K132" s="1172"/>
      <c r="L132" s="1172"/>
      <c r="M132" s="1172"/>
      <c r="N132" s="1172"/>
      <c r="O132" s="1172"/>
      <c r="P132" s="1244"/>
      <c r="R132" s="1182"/>
      <c r="S132" s="1182"/>
      <c r="T132" s="1182"/>
      <c r="U132" s="1182"/>
      <c r="V132" s="1182"/>
      <c r="W132" s="1182"/>
      <c r="X132" s="1182"/>
      <c r="Y132" s="1182"/>
    </row>
    <row r="133" spans="1:25" x14ac:dyDescent="0.2">
      <c r="A133" s="1763"/>
      <c r="B133" s="1763"/>
      <c r="C133" s="1763"/>
      <c r="D133" s="1763"/>
      <c r="E133" s="1181"/>
      <c r="I133" s="1172"/>
      <c r="J133" s="1172"/>
      <c r="K133" s="1172"/>
      <c r="L133" s="1172"/>
      <c r="M133" s="1172"/>
      <c r="N133" s="1172"/>
      <c r="O133" s="1172"/>
      <c r="P133" s="1244"/>
      <c r="R133" s="1182"/>
      <c r="S133" s="1182"/>
      <c r="T133" s="1182"/>
      <c r="U133" s="1182"/>
      <c r="V133" s="1182"/>
      <c r="W133" s="1182"/>
      <c r="X133" s="1182"/>
      <c r="Y133" s="1182"/>
    </row>
    <row r="134" spans="1:25" x14ac:dyDescent="0.2">
      <c r="A134" s="1763"/>
      <c r="B134" s="1763"/>
      <c r="C134" s="1763"/>
      <c r="D134" s="1763"/>
      <c r="E134" s="1181"/>
      <c r="I134" s="1172"/>
      <c r="J134" s="1172"/>
      <c r="K134" s="1172"/>
      <c r="L134" s="1172"/>
      <c r="M134" s="1172"/>
      <c r="N134" s="1172"/>
      <c r="O134" s="1172"/>
      <c r="P134" s="1244"/>
      <c r="R134" s="1182"/>
      <c r="S134" s="1182"/>
      <c r="T134" s="1182"/>
      <c r="U134" s="1182"/>
      <c r="V134" s="1182"/>
      <c r="W134" s="1182"/>
      <c r="X134" s="1182"/>
      <c r="Y134" s="1182"/>
    </row>
    <row r="135" spans="1:25" x14ac:dyDescent="0.2">
      <c r="A135" s="1763"/>
      <c r="B135" s="1763"/>
      <c r="C135" s="1763"/>
      <c r="D135" s="1763"/>
      <c r="E135" s="1181"/>
      <c r="I135" s="1172"/>
      <c r="J135" s="1172"/>
      <c r="K135" s="1172"/>
      <c r="L135" s="1172"/>
      <c r="M135" s="1172"/>
      <c r="N135" s="1172"/>
      <c r="O135" s="1172"/>
      <c r="P135" s="1244"/>
      <c r="R135" s="1182"/>
      <c r="S135" s="1182"/>
      <c r="T135" s="1182"/>
      <c r="U135" s="1182"/>
      <c r="V135" s="1182"/>
      <c r="W135" s="1182"/>
      <c r="X135" s="1182"/>
      <c r="Y135" s="1182"/>
    </row>
    <row r="136" spans="1:25" x14ac:dyDescent="0.2">
      <c r="A136" s="1763"/>
      <c r="B136" s="1763"/>
      <c r="C136" s="1763"/>
      <c r="D136" s="1763"/>
      <c r="E136" s="1181"/>
      <c r="I136" s="1172"/>
      <c r="J136" s="1172"/>
      <c r="K136" s="1172"/>
      <c r="L136" s="1172"/>
      <c r="M136" s="1172"/>
      <c r="N136" s="1172"/>
      <c r="O136" s="1172"/>
      <c r="P136" s="1244"/>
      <c r="R136" s="1182"/>
      <c r="S136" s="1182"/>
      <c r="T136" s="1182"/>
      <c r="U136" s="1182"/>
      <c r="V136" s="1182"/>
      <c r="W136" s="1182"/>
      <c r="X136" s="1182"/>
      <c r="Y136" s="1182"/>
    </row>
    <row r="137" spans="1:25" x14ac:dyDescent="0.2">
      <c r="A137" s="1763"/>
      <c r="B137" s="1763"/>
      <c r="C137" s="1763"/>
      <c r="D137" s="1763"/>
      <c r="E137" s="1181"/>
      <c r="I137" s="1172"/>
      <c r="J137" s="1172"/>
      <c r="K137" s="1172"/>
      <c r="L137" s="1172"/>
      <c r="M137" s="1172"/>
      <c r="N137" s="1172"/>
      <c r="O137" s="1172"/>
      <c r="P137" s="1244"/>
      <c r="R137" s="1182"/>
      <c r="S137" s="1182"/>
      <c r="T137" s="1182"/>
      <c r="U137" s="1182"/>
      <c r="V137" s="1182"/>
      <c r="W137" s="1182"/>
      <c r="X137" s="1182"/>
      <c r="Y137" s="1182"/>
    </row>
    <row r="138" spans="1:25" x14ac:dyDescent="0.2">
      <c r="A138" s="1763"/>
      <c r="B138" s="1763"/>
      <c r="C138" s="1763"/>
      <c r="D138" s="1763"/>
      <c r="E138" s="1181"/>
      <c r="I138" s="1172"/>
      <c r="J138" s="1172"/>
      <c r="K138" s="1172"/>
      <c r="L138" s="1172"/>
      <c r="M138" s="1172"/>
      <c r="N138" s="1172"/>
      <c r="O138" s="1172"/>
      <c r="P138" s="1244"/>
      <c r="R138" s="1182"/>
      <c r="S138" s="1182"/>
      <c r="T138" s="1182"/>
      <c r="U138" s="1182"/>
      <c r="V138" s="1182"/>
      <c r="W138" s="1182"/>
      <c r="X138" s="1182"/>
      <c r="Y138" s="1182"/>
    </row>
    <row r="139" spans="1:25" x14ac:dyDescent="0.2">
      <c r="A139" s="1763"/>
      <c r="B139" s="1763"/>
      <c r="C139" s="1763"/>
      <c r="D139" s="1763"/>
      <c r="E139" s="1181"/>
      <c r="I139" s="1172"/>
      <c r="J139" s="1172"/>
      <c r="K139" s="1172"/>
      <c r="L139" s="1172"/>
      <c r="M139" s="1172"/>
      <c r="N139" s="1172"/>
      <c r="O139" s="1172"/>
      <c r="P139" s="1244"/>
      <c r="R139" s="1182"/>
      <c r="S139" s="1182"/>
      <c r="T139" s="1182"/>
      <c r="U139" s="1182"/>
      <c r="V139" s="1182"/>
      <c r="W139" s="1182"/>
      <c r="X139" s="1182"/>
      <c r="Y139" s="1182"/>
    </row>
    <row r="140" spans="1:25" x14ac:dyDescent="0.2">
      <c r="A140" s="1763"/>
      <c r="B140" s="1763"/>
      <c r="C140" s="1763"/>
      <c r="D140" s="1763"/>
      <c r="E140" s="1181"/>
      <c r="I140" s="1172"/>
      <c r="J140" s="1172"/>
      <c r="K140" s="1172"/>
      <c r="L140" s="1172"/>
      <c r="M140" s="1172"/>
      <c r="N140" s="1172"/>
      <c r="O140" s="1172"/>
      <c r="P140" s="1244"/>
      <c r="R140" s="1182"/>
      <c r="S140" s="1182"/>
      <c r="T140" s="1182"/>
      <c r="U140" s="1182"/>
      <c r="V140" s="1182"/>
      <c r="W140" s="1182"/>
      <c r="X140" s="1182"/>
      <c r="Y140" s="1182"/>
    </row>
    <row r="141" spans="1:25" x14ac:dyDescent="0.2">
      <c r="A141" s="1763"/>
      <c r="B141" s="1763"/>
      <c r="C141" s="1763"/>
      <c r="D141" s="1763"/>
      <c r="E141" s="1181"/>
      <c r="I141" s="1172"/>
      <c r="J141" s="1172"/>
      <c r="K141" s="1172"/>
      <c r="L141" s="1172"/>
      <c r="M141" s="1172"/>
      <c r="N141" s="1172"/>
      <c r="O141" s="1172"/>
      <c r="P141" s="1244"/>
      <c r="R141" s="1182"/>
      <c r="S141" s="1182"/>
      <c r="T141" s="1182"/>
      <c r="U141" s="1182"/>
      <c r="V141" s="1182"/>
      <c r="W141" s="1182"/>
      <c r="X141" s="1182"/>
      <c r="Y141" s="1182"/>
    </row>
    <row r="142" spans="1:25" x14ac:dyDescent="0.2">
      <c r="A142" s="1763"/>
      <c r="B142" s="1763"/>
      <c r="C142" s="1763"/>
      <c r="D142" s="1763"/>
      <c r="E142" s="1181"/>
      <c r="I142" s="1172"/>
      <c r="J142" s="1172"/>
      <c r="K142" s="1172"/>
      <c r="L142" s="1172"/>
      <c r="M142" s="1172"/>
      <c r="N142" s="1172"/>
      <c r="O142" s="1172"/>
      <c r="P142" s="1244"/>
      <c r="R142" s="1182"/>
      <c r="S142" s="1182"/>
      <c r="T142" s="1182"/>
      <c r="U142" s="1182"/>
      <c r="V142" s="1182"/>
      <c r="W142" s="1182"/>
      <c r="X142" s="1182"/>
      <c r="Y142" s="1182"/>
    </row>
    <row r="143" spans="1:25" x14ac:dyDescent="0.2">
      <c r="A143" s="1763"/>
      <c r="B143" s="1763"/>
      <c r="C143" s="1763"/>
      <c r="D143" s="1763"/>
      <c r="E143" s="1181"/>
      <c r="I143" s="1172"/>
      <c r="J143" s="1172"/>
      <c r="K143" s="1172"/>
      <c r="L143" s="1172"/>
      <c r="M143" s="1172"/>
      <c r="N143" s="1172"/>
      <c r="O143" s="1172"/>
      <c r="P143" s="1244"/>
      <c r="R143" s="1182"/>
      <c r="S143" s="1182"/>
      <c r="T143" s="1182"/>
      <c r="U143" s="1182"/>
      <c r="V143" s="1182"/>
      <c r="W143" s="1182"/>
      <c r="X143" s="1182"/>
      <c r="Y143" s="1182"/>
    </row>
    <row r="144" spans="1:25" x14ac:dyDescent="0.2">
      <c r="A144" s="1763"/>
      <c r="B144" s="1763"/>
      <c r="C144" s="1763"/>
      <c r="D144" s="1763"/>
      <c r="E144" s="1181"/>
      <c r="I144" s="1172"/>
      <c r="J144" s="1172"/>
      <c r="K144" s="1172"/>
      <c r="L144" s="1172"/>
      <c r="M144" s="1172"/>
      <c r="N144" s="1172"/>
      <c r="O144" s="1172"/>
      <c r="P144" s="1244"/>
      <c r="R144" s="1182"/>
      <c r="S144" s="1182"/>
      <c r="T144" s="1182"/>
      <c r="U144" s="1182"/>
      <c r="V144" s="1182"/>
      <c r="W144" s="1182"/>
      <c r="X144" s="1182"/>
      <c r="Y144" s="1182"/>
    </row>
    <row r="145" spans="1:25" x14ac:dyDescent="0.2">
      <c r="A145" s="1763"/>
      <c r="B145" s="1763"/>
      <c r="C145" s="1763"/>
      <c r="D145" s="1763"/>
      <c r="E145" s="1181"/>
      <c r="I145" s="1172"/>
      <c r="J145" s="1172"/>
      <c r="K145" s="1172"/>
      <c r="L145" s="1172"/>
      <c r="M145" s="1172"/>
      <c r="N145" s="1172"/>
      <c r="O145" s="1172"/>
      <c r="P145" s="1244"/>
      <c r="R145" s="1182"/>
      <c r="S145" s="1182"/>
      <c r="T145" s="1182"/>
      <c r="U145" s="1182"/>
      <c r="V145" s="1182"/>
      <c r="W145" s="1182"/>
      <c r="X145" s="1182"/>
      <c r="Y145" s="1182"/>
    </row>
    <row r="146" spans="1:25" x14ac:dyDescent="0.2">
      <c r="A146" s="1763"/>
      <c r="B146" s="1763"/>
      <c r="C146" s="1763"/>
      <c r="D146" s="1763"/>
      <c r="E146" s="1181"/>
      <c r="I146" s="1172"/>
      <c r="J146" s="1172"/>
      <c r="K146" s="1172"/>
      <c r="L146" s="1172"/>
      <c r="M146" s="1172"/>
      <c r="N146" s="1172"/>
      <c r="O146" s="1172"/>
      <c r="P146" s="1244"/>
      <c r="R146" s="1182"/>
      <c r="S146" s="1182"/>
      <c r="T146" s="1182"/>
      <c r="U146" s="1182"/>
      <c r="V146" s="1182"/>
      <c r="W146" s="1182"/>
      <c r="X146" s="1182"/>
      <c r="Y146" s="1182"/>
    </row>
    <row r="147" spans="1:25" x14ac:dyDescent="0.2">
      <c r="A147" s="1763"/>
      <c r="B147" s="1763"/>
      <c r="C147" s="1763"/>
      <c r="D147" s="1763"/>
      <c r="E147" s="1181"/>
      <c r="I147" s="1172"/>
      <c r="J147" s="1172"/>
      <c r="K147" s="1172"/>
      <c r="L147" s="1172"/>
      <c r="M147" s="1172"/>
      <c r="N147" s="1172"/>
      <c r="O147" s="1172"/>
      <c r="P147" s="1244"/>
      <c r="R147" s="1182"/>
      <c r="S147" s="1182"/>
      <c r="T147" s="1182"/>
      <c r="U147" s="1182"/>
      <c r="V147" s="1182"/>
      <c r="W147" s="1182"/>
      <c r="X147" s="1182"/>
      <c r="Y147" s="1182"/>
    </row>
    <row r="148" spans="1:25" x14ac:dyDescent="0.2">
      <c r="A148" s="1763"/>
      <c r="B148" s="1763"/>
      <c r="C148" s="1763"/>
      <c r="D148" s="1763"/>
      <c r="E148" s="1181"/>
      <c r="I148" s="1172"/>
      <c r="J148" s="1172"/>
      <c r="K148" s="1172"/>
      <c r="L148" s="1172"/>
      <c r="M148" s="1172"/>
      <c r="N148" s="1172"/>
      <c r="O148" s="1172"/>
      <c r="P148" s="1244"/>
      <c r="R148" s="1182"/>
      <c r="S148" s="1182"/>
      <c r="T148" s="1182"/>
      <c r="U148" s="1182"/>
      <c r="V148" s="1182"/>
      <c r="W148" s="1182"/>
      <c r="X148" s="1182"/>
      <c r="Y148" s="1182"/>
    </row>
    <row r="149" spans="1:25" x14ac:dyDescent="0.2">
      <c r="A149" s="1763"/>
      <c r="B149" s="1763"/>
      <c r="C149" s="1763"/>
      <c r="D149" s="1763"/>
      <c r="E149" s="1181"/>
      <c r="I149" s="1172"/>
      <c r="J149" s="1172"/>
      <c r="K149" s="1172"/>
      <c r="L149" s="1172"/>
      <c r="M149" s="1172"/>
      <c r="N149" s="1172"/>
      <c r="O149" s="1172"/>
      <c r="P149" s="1244"/>
      <c r="R149" s="1182"/>
      <c r="S149" s="1182"/>
      <c r="T149" s="1182"/>
      <c r="U149" s="1182"/>
      <c r="V149" s="1182"/>
      <c r="W149" s="1182"/>
      <c r="X149" s="1182"/>
      <c r="Y149" s="1182"/>
    </row>
    <row r="150" spans="1:25" x14ac:dyDescent="0.2">
      <c r="A150" s="1763"/>
      <c r="B150" s="1763"/>
      <c r="C150" s="1763"/>
      <c r="D150" s="1763"/>
      <c r="E150" s="1181"/>
      <c r="I150" s="1172"/>
      <c r="J150" s="1172"/>
      <c r="K150" s="1172"/>
      <c r="L150" s="1172"/>
      <c r="M150" s="1172"/>
      <c r="N150" s="1172"/>
      <c r="O150" s="1172"/>
      <c r="P150" s="1244"/>
      <c r="R150" s="1182"/>
      <c r="S150" s="1182"/>
      <c r="T150" s="1182"/>
      <c r="U150" s="1182"/>
      <c r="V150" s="1182"/>
      <c r="W150" s="1182"/>
      <c r="X150" s="1182"/>
      <c r="Y150" s="1182"/>
    </row>
    <row r="151" spans="1:25" x14ac:dyDescent="0.2">
      <c r="A151" s="1763"/>
      <c r="B151" s="1763"/>
      <c r="C151" s="1763"/>
      <c r="D151" s="1763"/>
      <c r="E151" s="1181"/>
      <c r="I151" s="1172"/>
      <c r="J151" s="1172"/>
      <c r="K151" s="1172"/>
      <c r="L151" s="1172"/>
      <c r="M151" s="1172"/>
      <c r="N151" s="1172"/>
      <c r="O151" s="1172"/>
      <c r="P151" s="1244"/>
      <c r="R151" s="1182"/>
      <c r="S151" s="1182"/>
      <c r="T151" s="1182"/>
      <c r="U151" s="1182"/>
      <c r="V151" s="1182"/>
      <c r="W151" s="1182"/>
      <c r="X151" s="1182"/>
      <c r="Y151" s="1182"/>
    </row>
    <row r="152" spans="1:25" x14ac:dyDescent="0.2">
      <c r="A152" s="1763"/>
      <c r="B152" s="1763"/>
      <c r="C152" s="1763"/>
      <c r="D152" s="1763"/>
      <c r="E152" s="1181"/>
      <c r="I152" s="1172"/>
      <c r="J152" s="1172"/>
      <c r="K152" s="1172"/>
      <c r="L152" s="1172"/>
      <c r="M152" s="1172"/>
      <c r="N152" s="1172"/>
      <c r="O152" s="1172"/>
      <c r="P152" s="1244"/>
      <c r="R152" s="1182"/>
      <c r="S152" s="1182"/>
      <c r="T152" s="1182"/>
      <c r="U152" s="1182"/>
      <c r="V152" s="1182"/>
      <c r="W152" s="1182"/>
      <c r="X152" s="1182"/>
      <c r="Y152" s="1182"/>
    </row>
    <row r="153" spans="1:25" x14ac:dyDescent="0.2">
      <c r="A153" s="1763"/>
      <c r="B153" s="1763"/>
      <c r="C153" s="1763"/>
      <c r="D153" s="1763"/>
      <c r="E153" s="1181"/>
      <c r="I153" s="1172"/>
      <c r="J153" s="1172"/>
      <c r="K153" s="1172"/>
      <c r="L153" s="1172"/>
      <c r="M153" s="1172"/>
      <c r="N153" s="1172"/>
      <c r="O153" s="1172"/>
      <c r="P153" s="1244"/>
      <c r="R153" s="1182"/>
      <c r="S153" s="1182"/>
      <c r="T153" s="1182"/>
      <c r="U153" s="1182"/>
      <c r="V153" s="1182"/>
      <c r="W153" s="1182"/>
      <c r="X153" s="1182"/>
      <c r="Y153" s="1182"/>
    </row>
    <row r="154" spans="1:25" x14ac:dyDescent="0.2">
      <c r="A154" s="1763"/>
      <c r="B154" s="1763"/>
      <c r="C154" s="1763"/>
      <c r="D154" s="1763"/>
      <c r="E154" s="1181"/>
      <c r="I154" s="1172"/>
      <c r="J154" s="1172"/>
      <c r="K154" s="1172"/>
      <c r="L154" s="1172"/>
      <c r="M154" s="1172"/>
      <c r="N154" s="1172"/>
      <c r="O154" s="1172"/>
      <c r="P154" s="1244"/>
      <c r="R154" s="1182"/>
      <c r="S154" s="1182"/>
      <c r="T154" s="1182"/>
      <c r="U154" s="1182"/>
      <c r="V154" s="1182"/>
      <c r="W154" s="1182"/>
      <c r="X154" s="1182"/>
      <c r="Y154" s="1182"/>
    </row>
    <row r="155" spans="1:25" x14ac:dyDescent="0.2">
      <c r="A155" s="1763"/>
      <c r="B155" s="1763"/>
      <c r="C155" s="1763"/>
      <c r="D155" s="1763"/>
      <c r="E155" s="1181"/>
      <c r="I155" s="1172"/>
      <c r="J155" s="1172"/>
      <c r="K155" s="1172"/>
      <c r="L155" s="1172"/>
      <c r="M155" s="1172"/>
      <c r="N155" s="1172"/>
      <c r="O155" s="1172"/>
      <c r="P155" s="1244"/>
      <c r="R155" s="1182"/>
      <c r="S155" s="1182"/>
      <c r="T155" s="1182"/>
      <c r="U155" s="1182"/>
      <c r="V155" s="1182"/>
      <c r="W155" s="1182"/>
      <c r="X155" s="1182"/>
      <c r="Y155" s="1182"/>
    </row>
    <row r="156" spans="1:25" x14ac:dyDescent="0.2">
      <c r="A156" s="1763"/>
      <c r="B156" s="1763"/>
      <c r="C156" s="1763"/>
      <c r="D156" s="1763"/>
      <c r="E156" s="1181"/>
      <c r="I156" s="1172"/>
      <c r="J156" s="1172"/>
      <c r="K156" s="1172"/>
      <c r="L156" s="1172"/>
      <c r="M156" s="1172"/>
      <c r="N156" s="1172"/>
      <c r="O156" s="1172"/>
      <c r="P156" s="1244"/>
      <c r="R156" s="1182"/>
      <c r="S156" s="1182"/>
      <c r="T156" s="1182"/>
      <c r="U156" s="1182"/>
      <c r="V156" s="1182"/>
      <c r="W156" s="1182"/>
      <c r="X156" s="1182"/>
      <c r="Y156" s="1182"/>
    </row>
    <row r="157" spans="1:25" x14ac:dyDescent="0.2">
      <c r="A157" s="1763"/>
      <c r="B157" s="1763"/>
      <c r="C157" s="1763"/>
      <c r="D157" s="1763"/>
      <c r="E157" s="1181"/>
      <c r="I157" s="1172"/>
      <c r="J157" s="1172"/>
      <c r="K157" s="1172"/>
      <c r="L157" s="1172"/>
      <c r="M157" s="1172"/>
      <c r="N157" s="1172"/>
      <c r="O157" s="1172"/>
      <c r="P157" s="1244"/>
      <c r="R157" s="1182"/>
      <c r="S157" s="1182"/>
      <c r="T157" s="1182"/>
      <c r="U157" s="1182"/>
      <c r="V157" s="1182"/>
      <c r="W157" s="1182"/>
      <c r="X157" s="1182"/>
      <c r="Y157" s="1182"/>
    </row>
    <row r="158" spans="1:25" x14ac:dyDescent="0.2">
      <c r="A158" s="1763"/>
      <c r="B158" s="1763"/>
      <c r="C158" s="1763"/>
      <c r="D158" s="1763"/>
      <c r="E158" s="1181"/>
      <c r="I158" s="1172"/>
      <c r="J158" s="1172"/>
      <c r="K158" s="1172"/>
      <c r="L158" s="1172"/>
      <c r="M158" s="1172"/>
      <c r="N158" s="1172"/>
      <c r="O158" s="1172"/>
      <c r="P158" s="1244"/>
      <c r="R158" s="1182"/>
      <c r="S158" s="1182"/>
      <c r="T158" s="1182"/>
      <c r="U158" s="1182"/>
      <c r="V158" s="1182"/>
      <c r="W158" s="1182"/>
      <c r="X158" s="1182"/>
      <c r="Y158" s="1182"/>
    </row>
    <row r="159" spans="1:25" x14ac:dyDescent="0.2">
      <c r="A159" s="1763"/>
      <c r="B159" s="1763"/>
      <c r="C159" s="1763"/>
      <c r="D159" s="1763"/>
      <c r="E159" s="1181"/>
      <c r="I159" s="1172"/>
      <c r="J159" s="1172"/>
      <c r="K159" s="1172"/>
      <c r="L159" s="1172"/>
      <c r="M159" s="1172"/>
      <c r="N159" s="1172"/>
      <c r="O159" s="1172"/>
      <c r="P159" s="1244"/>
      <c r="R159" s="1182"/>
      <c r="S159" s="1182"/>
      <c r="T159" s="1182"/>
      <c r="U159" s="1182"/>
      <c r="V159" s="1182"/>
      <c r="W159" s="1182"/>
      <c r="X159" s="1182"/>
      <c r="Y159" s="1182"/>
    </row>
    <row r="160" spans="1:25" x14ac:dyDescent="0.2">
      <c r="A160" s="1763"/>
      <c r="B160" s="1763"/>
      <c r="C160" s="1763"/>
      <c r="D160" s="1763"/>
      <c r="E160" s="1181"/>
      <c r="I160" s="1172"/>
      <c r="J160" s="1172"/>
      <c r="K160" s="1172"/>
      <c r="L160" s="1172"/>
      <c r="M160" s="1172"/>
      <c r="N160" s="1172"/>
      <c r="O160" s="1172"/>
      <c r="P160" s="1244"/>
      <c r="R160" s="1182"/>
      <c r="S160" s="1182"/>
      <c r="T160" s="1182"/>
      <c r="U160" s="1182"/>
      <c r="V160" s="1182"/>
      <c r="W160" s="1182"/>
      <c r="X160" s="1182"/>
      <c r="Y160" s="1182"/>
    </row>
    <row r="161" spans="1:25" x14ac:dyDescent="0.2">
      <c r="A161" s="1763"/>
      <c r="B161" s="1763"/>
      <c r="C161" s="1763"/>
      <c r="D161" s="1763"/>
      <c r="E161" s="1181"/>
      <c r="I161" s="1172"/>
      <c r="J161" s="1172"/>
      <c r="K161" s="1172"/>
      <c r="L161" s="1172"/>
      <c r="M161" s="1172"/>
      <c r="N161" s="1172"/>
      <c r="O161" s="1172"/>
      <c r="P161" s="1244"/>
      <c r="R161" s="1182"/>
      <c r="S161" s="1182"/>
      <c r="T161" s="1182"/>
      <c r="U161" s="1182"/>
      <c r="V161" s="1182"/>
      <c r="W161" s="1182"/>
      <c r="X161" s="1182"/>
      <c r="Y161" s="1182"/>
    </row>
    <row r="162" spans="1:25" x14ac:dyDescent="0.2">
      <c r="A162" s="1763"/>
      <c r="B162" s="1763"/>
      <c r="C162" s="1763"/>
      <c r="D162" s="1763"/>
      <c r="E162" s="1181"/>
      <c r="I162" s="1172"/>
      <c r="J162" s="1172"/>
      <c r="K162" s="1172"/>
      <c r="L162" s="1172"/>
      <c r="M162" s="1172"/>
      <c r="N162" s="1172"/>
      <c r="O162" s="1172"/>
      <c r="P162" s="1244"/>
      <c r="R162" s="1182"/>
      <c r="S162" s="1182"/>
      <c r="T162" s="1182"/>
      <c r="U162" s="1182"/>
      <c r="V162" s="1182"/>
      <c r="W162" s="1182"/>
      <c r="X162" s="1182"/>
      <c r="Y162" s="1182"/>
    </row>
    <row r="163" spans="1:25" x14ac:dyDescent="0.2">
      <c r="A163" s="1763"/>
      <c r="B163" s="1763"/>
      <c r="C163" s="1763"/>
      <c r="D163" s="1763"/>
      <c r="E163" s="1181"/>
      <c r="I163" s="1172"/>
      <c r="J163" s="1172"/>
      <c r="K163" s="1172"/>
      <c r="L163" s="1172"/>
      <c r="M163" s="1172"/>
      <c r="N163" s="1172"/>
      <c r="O163" s="1172"/>
      <c r="P163" s="1244"/>
      <c r="R163" s="1182"/>
      <c r="S163" s="1182"/>
      <c r="T163" s="1182"/>
      <c r="U163" s="1182"/>
      <c r="V163" s="1182"/>
      <c r="W163" s="1182"/>
      <c r="X163" s="1182"/>
      <c r="Y163" s="1182"/>
    </row>
    <row r="164" spans="1:25" x14ac:dyDescent="0.2">
      <c r="A164" s="1763"/>
      <c r="B164" s="1763"/>
      <c r="C164" s="1763"/>
      <c r="D164" s="1763"/>
      <c r="E164" s="1181"/>
      <c r="I164" s="1172"/>
      <c r="J164" s="1172"/>
      <c r="K164" s="1172"/>
      <c r="L164" s="1172"/>
      <c r="M164" s="1172"/>
      <c r="N164" s="1172"/>
      <c r="O164" s="1172"/>
      <c r="P164" s="1244"/>
      <c r="R164" s="1182"/>
      <c r="S164" s="1182"/>
      <c r="T164" s="1182"/>
      <c r="U164" s="1182"/>
      <c r="V164" s="1182"/>
      <c r="W164" s="1182"/>
      <c r="X164" s="1182"/>
      <c r="Y164" s="1182"/>
    </row>
    <row r="165" spans="1:25" x14ac:dyDescent="0.2">
      <c r="A165" s="1763"/>
      <c r="B165" s="1763"/>
      <c r="C165" s="1763"/>
      <c r="D165" s="1763"/>
      <c r="E165" s="1181"/>
      <c r="I165" s="1172"/>
      <c r="J165" s="1172"/>
      <c r="K165" s="1172"/>
      <c r="L165" s="1172"/>
      <c r="M165" s="1172"/>
      <c r="N165" s="1172"/>
      <c r="O165" s="1172"/>
      <c r="P165" s="1244"/>
      <c r="R165" s="1182"/>
      <c r="S165" s="1182"/>
      <c r="T165" s="1182"/>
      <c r="U165" s="1182"/>
      <c r="V165" s="1182"/>
      <c r="W165" s="1182"/>
      <c r="X165" s="1182"/>
      <c r="Y165" s="1182"/>
    </row>
    <row r="166" spans="1:25" x14ac:dyDescent="0.2">
      <c r="A166" s="1763"/>
      <c r="B166" s="1763"/>
      <c r="C166" s="1763"/>
      <c r="D166" s="1763"/>
      <c r="E166" s="1181"/>
      <c r="I166" s="1172"/>
      <c r="J166" s="1172"/>
      <c r="K166" s="1172"/>
      <c r="L166" s="1172"/>
      <c r="M166" s="1172"/>
      <c r="N166" s="1172"/>
      <c r="O166" s="1172"/>
      <c r="P166" s="1244"/>
      <c r="R166" s="1182"/>
      <c r="S166" s="1182"/>
      <c r="T166" s="1182"/>
      <c r="U166" s="1182"/>
      <c r="V166" s="1182"/>
      <c r="W166" s="1182"/>
      <c r="X166" s="1182"/>
      <c r="Y166" s="1182"/>
    </row>
    <row r="167" spans="1:25" x14ac:dyDescent="0.2">
      <c r="A167" s="1763"/>
      <c r="B167" s="1763"/>
      <c r="C167" s="1763"/>
      <c r="D167" s="1763"/>
      <c r="E167" s="1181"/>
      <c r="I167" s="1172"/>
      <c r="J167" s="1172"/>
      <c r="K167" s="1172"/>
      <c r="L167" s="1172"/>
      <c r="M167" s="1172"/>
      <c r="N167" s="1172"/>
      <c r="O167" s="1172"/>
      <c r="P167" s="1244"/>
      <c r="R167" s="1182"/>
      <c r="S167" s="1182"/>
      <c r="T167" s="1182"/>
      <c r="U167" s="1182"/>
      <c r="V167" s="1182"/>
      <c r="W167" s="1182"/>
      <c r="X167" s="1182"/>
      <c r="Y167" s="1182"/>
    </row>
    <row r="168" spans="1:25" x14ac:dyDescent="0.2">
      <c r="A168" s="1763"/>
      <c r="B168" s="1763"/>
      <c r="C168" s="1763"/>
      <c r="D168" s="1763"/>
      <c r="E168" s="1181"/>
      <c r="I168" s="1172"/>
      <c r="J168" s="1172"/>
      <c r="K168" s="1172"/>
      <c r="L168" s="1172"/>
      <c r="M168" s="1172"/>
      <c r="N168" s="1172"/>
      <c r="O168" s="1172"/>
      <c r="P168" s="1244"/>
      <c r="R168" s="1182"/>
      <c r="S168" s="1182"/>
      <c r="T168" s="1182"/>
      <c r="U168" s="1182"/>
      <c r="V168" s="1182"/>
      <c r="W168" s="1182"/>
      <c r="X168" s="1182"/>
      <c r="Y168" s="1182"/>
    </row>
    <row r="169" spans="1:25" x14ac:dyDescent="0.2">
      <c r="A169" s="1763"/>
      <c r="B169" s="1763"/>
      <c r="C169" s="1763"/>
      <c r="D169" s="1763"/>
      <c r="E169" s="1181"/>
      <c r="I169" s="1172"/>
      <c r="J169" s="1172"/>
      <c r="K169" s="1172"/>
      <c r="L169" s="1172"/>
      <c r="M169" s="1172"/>
      <c r="N169" s="1172"/>
      <c r="O169" s="1172"/>
      <c r="P169" s="1244"/>
      <c r="R169" s="1182"/>
      <c r="S169" s="1182"/>
      <c r="T169" s="1182"/>
      <c r="U169" s="1182"/>
      <c r="V169" s="1182"/>
      <c r="W169" s="1182"/>
      <c r="X169" s="1182"/>
      <c r="Y169" s="1182"/>
    </row>
    <row r="170" spans="1:25" x14ac:dyDescent="0.2">
      <c r="A170" s="1763"/>
      <c r="B170" s="1763"/>
      <c r="C170" s="1763"/>
      <c r="D170" s="1763"/>
      <c r="E170" s="1181"/>
      <c r="I170" s="1172"/>
      <c r="J170" s="1172"/>
      <c r="K170" s="1172"/>
      <c r="L170" s="1172"/>
      <c r="M170" s="1172"/>
      <c r="N170" s="1172"/>
      <c r="O170" s="1172"/>
      <c r="P170" s="1244"/>
      <c r="R170" s="1182"/>
      <c r="S170" s="1182"/>
      <c r="T170" s="1182"/>
      <c r="U170" s="1182"/>
      <c r="V170" s="1182"/>
      <c r="W170" s="1182"/>
      <c r="X170" s="1182"/>
      <c r="Y170" s="1182"/>
    </row>
    <row r="171" spans="1:25" x14ac:dyDescent="0.2">
      <c r="A171" s="1763"/>
      <c r="B171" s="1763"/>
      <c r="C171" s="1763"/>
      <c r="D171" s="1763"/>
      <c r="E171" s="1181"/>
      <c r="I171" s="1172"/>
      <c r="J171" s="1172"/>
      <c r="K171" s="1172"/>
      <c r="L171" s="1172"/>
      <c r="M171" s="1172"/>
      <c r="N171" s="1172"/>
      <c r="O171" s="1172"/>
      <c r="P171" s="1244"/>
      <c r="R171" s="1182"/>
      <c r="S171" s="1182"/>
      <c r="T171" s="1182"/>
      <c r="U171" s="1182"/>
      <c r="V171" s="1182"/>
      <c r="W171" s="1182"/>
      <c r="X171" s="1182"/>
      <c r="Y171" s="1182"/>
    </row>
    <row r="172" spans="1:25" x14ac:dyDescent="0.2">
      <c r="A172" s="1763"/>
      <c r="B172" s="1763"/>
      <c r="C172" s="1763"/>
      <c r="D172" s="1763"/>
      <c r="E172" s="1181"/>
      <c r="I172" s="1172"/>
      <c r="J172" s="1172"/>
      <c r="K172" s="1172"/>
      <c r="L172" s="1172"/>
      <c r="M172" s="1172"/>
      <c r="N172" s="1172"/>
      <c r="O172" s="1172"/>
      <c r="P172" s="1244"/>
      <c r="R172" s="1182"/>
      <c r="S172" s="1182"/>
      <c r="T172" s="1182"/>
      <c r="U172" s="1182"/>
      <c r="V172" s="1182"/>
      <c r="W172" s="1182"/>
      <c r="X172" s="1182"/>
      <c r="Y172" s="1182"/>
    </row>
    <row r="173" spans="1:25" x14ac:dyDescent="0.2">
      <c r="A173" s="1763"/>
      <c r="B173" s="1763"/>
      <c r="C173" s="1763"/>
      <c r="D173" s="1763"/>
      <c r="E173" s="1181"/>
      <c r="I173" s="1172"/>
      <c r="J173" s="1172"/>
      <c r="K173" s="1172"/>
      <c r="L173" s="1172"/>
      <c r="M173" s="1172"/>
      <c r="N173" s="1172"/>
      <c r="O173" s="1172"/>
      <c r="P173" s="1244"/>
      <c r="R173" s="1182"/>
      <c r="S173" s="1182"/>
      <c r="T173" s="1182"/>
      <c r="U173" s="1182"/>
      <c r="V173" s="1182"/>
      <c r="W173" s="1182"/>
      <c r="X173" s="1182"/>
      <c r="Y173" s="1182"/>
    </row>
    <row r="174" spans="1:25" x14ac:dyDescent="0.2">
      <c r="A174" s="1763"/>
      <c r="B174" s="1763"/>
      <c r="C174" s="1763"/>
      <c r="D174" s="1763"/>
      <c r="E174" s="1181"/>
      <c r="I174" s="1172"/>
      <c r="J174" s="1172"/>
      <c r="K174" s="1172"/>
      <c r="L174" s="1172"/>
      <c r="M174" s="1172"/>
      <c r="N174" s="1172"/>
      <c r="O174" s="1172"/>
      <c r="P174" s="1244"/>
      <c r="R174" s="1182"/>
      <c r="S174" s="1182"/>
      <c r="T174" s="1182"/>
      <c r="U174" s="1182"/>
      <c r="V174" s="1182"/>
      <c r="W174" s="1182"/>
      <c r="X174" s="1182"/>
      <c r="Y174" s="1182"/>
    </row>
    <row r="175" spans="1:25" x14ac:dyDescent="0.2">
      <c r="A175" s="1763"/>
      <c r="B175" s="1763"/>
      <c r="C175" s="1763"/>
      <c r="D175" s="1763"/>
      <c r="E175" s="1181"/>
      <c r="I175" s="1172"/>
      <c r="J175" s="1172"/>
      <c r="K175" s="1172"/>
      <c r="L175" s="1172"/>
      <c r="M175" s="1172"/>
      <c r="N175" s="1172"/>
      <c r="O175" s="1172"/>
      <c r="P175" s="1244"/>
      <c r="R175" s="1182"/>
      <c r="S175" s="1182"/>
      <c r="T175" s="1182"/>
      <c r="U175" s="1182"/>
      <c r="V175" s="1182"/>
      <c r="W175" s="1182"/>
      <c r="X175" s="1182"/>
      <c r="Y175" s="1182"/>
    </row>
    <row r="176" spans="1:25" x14ac:dyDescent="0.2">
      <c r="A176" s="1763"/>
      <c r="B176" s="1763"/>
      <c r="C176" s="1763"/>
      <c r="D176" s="1763"/>
      <c r="E176" s="1181"/>
      <c r="I176" s="1172"/>
      <c r="J176" s="1172"/>
      <c r="K176" s="1172"/>
      <c r="L176" s="1172"/>
      <c r="M176" s="1172"/>
      <c r="N176" s="1172"/>
      <c r="O176" s="1172"/>
      <c r="P176" s="1244"/>
      <c r="R176" s="1182"/>
      <c r="S176" s="1182"/>
      <c r="T176" s="1182"/>
      <c r="U176" s="1182"/>
      <c r="V176" s="1182"/>
      <c r="W176" s="1182"/>
      <c r="X176" s="1182"/>
      <c r="Y176" s="1182"/>
    </row>
    <row r="177" spans="1:25" x14ac:dyDescent="0.2">
      <c r="A177" s="1763"/>
      <c r="B177" s="1763"/>
      <c r="C177" s="1763"/>
      <c r="D177" s="1763"/>
      <c r="E177" s="1181"/>
      <c r="I177" s="1172"/>
      <c r="J177" s="1172"/>
      <c r="K177" s="1172"/>
      <c r="L177" s="1172"/>
      <c r="M177" s="1172"/>
      <c r="N177" s="1172"/>
      <c r="O177" s="1172"/>
      <c r="P177" s="1244"/>
      <c r="R177" s="1182"/>
      <c r="S177" s="1182"/>
      <c r="T177" s="1182"/>
      <c r="U177" s="1182"/>
      <c r="V177" s="1182"/>
      <c r="W177" s="1182"/>
      <c r="X177" s="1182"/>
      <c r="Y177" s="1182"/>
    </row>
    <row r="178" spans="1:25" x14ac:dyDescent="0.2">
      <c r="A178" s="1763"/>
      <c r="B178" s="1763"/>
      <c r="C178" s="1763"/>
      <c r="D178" s="1763"/>
      <c r="E178" s="1181"/>
      <c r="I178" s="1172"/>
      <c r="J178" s="1172"/>
      <c r="K178" s="1172"/>
      <c r="L178" s="1172"/>
      <c r="M178" s="1172"/>
      <c r="N178" s="1172"/>
      <c r="O178" s="1172"/>
      <c r="P178" s="1244"/>
      <c r="R178" s="1182"/>
      <c r="S178" s="1182"/>
      <c r="T178" s="1182"/>
      <c r="U178" s="1182"/>
      <c r="V178" s="1182"/>
      <c r="W178" s="1182"/>
      <c r="X178" s="1182"/>
      <c r="Y178" s="1182"/>
    </row>
    <row r="179" spans="1:25" x14ac:dyDescent="0.2">
      <c r="A179" s="1763"/>
      <c r="B179" s="1763"/>
      <c r="C179" s="1763"/>
      <c r="D179" s="1763"/>
      <c r="E179" s="1181"/>
      <c r="I179" s="1172"/>
      <c r="J179" s="1172"/>
      <c r="K179" s="1172"/>
      <c r="L179" s="1172"/>
      <c r="M179" s="1172"/>
      <c r="N179" s="1172"/>
      <c r="O179" s="1172"/>
      <c r="P179" s="1244"/>
      <c r="R179" s="1182"/>
      <c r="S179" s="1182"/>
      <c r="T179" s="1182"/>
      <c r="U179" s="1182"/>
      <c r="V179" s="1182"/>
      <c r="W179" s="1182"/>
      <c r="X179" s="1182"/>
      <c r="Y179" s="1182"/>
    </row>
    <row r="180" spans="1:25" x14ac:dyDescent="0.2">
      <c r="A180" s="1763"/>
      <c r="B180" s="1763"/>
      <c r="C180" s="1763"/>
      <c r="D180" s="1763"/>
      <c r="E180" s="1181"/>
      <c r="I180" s="1172"/>
      <c r="J180" s="1172"/>
      <c r="K180" s="1172"/>
      <c r="L180" s="1172"/>
      <c r="M180" s="1172"/>
      <c r="N180" s="1172"/>
      <c r="O180" s="1172"/>
      <c r="P180" s="1244"/>
      <c r="R180" s="1182"/>
      <c r="S180" s="1182"/>
      <c r="T180" s="1182"/>
      <c r="U180" s="1182"/>
      <c r="V180" s="1182"/>
      <c r="W180" s="1182"/>
      <c r="X180" s="1182"/>
      <c r="Y180" s="1182"/>
    </row>
    <row r="181" spans="1:25" x14ac:dyDescent="0.2">
      <c r="A181" s="1763"/>
      <c r="B181" s="1763"/>
      <c r="C181" s="1763"/>
      <c r="D181" s="1763"/>
      <c r="E181" s="1181"/>
      <c r="I181" s="1172"/>
      <c r="J181" s="1172"/>
      <c r="K181" s="1172"/>
      <c r="L181" s="1172"/>
      <c r="M181" s="1172"/>
      <c r="N181" s="1172"/>
      <c r="O181" s="1172"/>
      <c r="P181" s="1244"/>
      <c r="R181" s="1182"/>
      <c r="S181" s="1182"/>
      <c r="T181" s="1182"/>
      <c r="U181" s="1182"/>
      <c r="V181" s="1182"/>
      <c r="W181" s="1182"/>
      <c r="X181" s="1182"/>
      <c r="Y181" s="1182"/>
    </row>
    <row r="182" spans="1:25" x14ac:dyDescent="0.2">
      <c r="A182" s="1763"/>
      <c r="B182" s="1763"/>
      <c r="C182" s="1763"/>
      <c r="D182" s="1763"/>
      <c r="E182" s="1181"/>
      <c r="I182" s="1172"/>
      <c r="J182" s="1172"/>
      <c r="K182" s="1172"/>
      <c r="L182" s="1172"/>
      <c r="M182" s="1172"/>
      <c r="N182" s="1172"/>
      <c r="O182" s="1172"/>
      <c r="P182" s="1244"/>
      <c r="R182" s="1182"/>
      <c r="S182" s="1182"/>
      <c r="T182" s="1182"/>
      <c r="U182" s="1182"/>
      <c r="V182" s="1182"/>
      <c r="W182" s="1182"/>
      <c r="X182" s="1182"/>
      <c r="Y182" s="1182"/>
    </row>
    <row r="183" spans="1:25" x14ac:dyDescent="0.2">
      <c r="A183" s="1763"/>
      <c r="B183" s="1763"/>
      <c r="C183" s="1763"/>
      <c r="D183" s="1763"/>
      <c r="E183" s="1181"/>
      <c r="I183" s="1172"/>
      <c r="J183" s="1172"/>
      <c r="K183" s="1172"/>
      <c r="L183" s="1172"/>
      <c r="M183" s="1172"/>
      <c r="N183" s="1172"/>
      <c r="O183" s="1172"/>
      <c r="P183" s="1244"/>
      <c r="R183" s="1182"/>
      <c r="S183" s="1182"/>
      <c r="T183" s="1182"/>
      <c r="U183" s="1182"/>
      <c r="V183" s="1182"/>
      <c r="W183" s="1182"/>
      <c r="X183" s="1182"/>
      <c r="Y183" s="1182"/>
    </row>
    <row r="184" spans="1:25" x14ac:dyDescent="0.2">
      <c r="A184" s="1763"/>
      <c r="B184" s="1763"/>
      <c r="C184" s="1763"/>
      <c r="D184" s="1763"/>
      <c r="E184" s="1181"/>
      <c r="I184" s="1172"/>
      <c r="J184" s="1172"/>
      <c r="K184" s="1172"/>
      <c r="L184" s="1172"/>
      <c r="M184" s="1172"/>
      <c r="N184" s="1172"/>
      <c r="O184" s="1172"/>
      <c r="P184" s="1244"/>
      <c r="R184" s="1182"/>
      <c r="S184" s="1182"/>
      <c r="T184" s="1182"/>
      <c r="U184" s="1182"/>
      <c r="V184" s="1182"/>
      <c r="W184" s="1182"/>
      <c r="X184" s="1182"/>
      <c r="Y184" s="1182"/>
    </row>
    <row r="185" spans="1:25" x14ac:dyDescent="0.2">
      <c r="A185" s="1763"/>
      <c r="B185" s="1763"/>
      <c r="C185" s="1763"/>
      <c r="D185" s="1763"/>
      <c r="E185" s="1181"/>
      <c r="I185" s="1172"/>
      <c r="J185" s="1172"/>
      <c r="K185" s="1172"/>
      <c r="L185" s="1172"/>
      <c r="M185" s="1172"/>
      <c r="N185" s="1172"/>
      <c r="O185" s="1172"/>
      <c r="P185" s="1244"/>
      <c r="R185" s="1182"/>
      <c r="S185" s="1182"/>
      <c r="T185" s="1182"/>
      <c r="U185" s="1182"/>
      <c r="V185" s="1182"/>
      <c r="W185" s="1182"/>
      <c r="X185" s="1182"/>
      <c r="Y185" s="1182"/>
    </row>
    <row r="186" spans="1:25" x14ac:dyDescent="0.2">
      <c r="A186" s="1763"/>
      <c r="B186" s="1763"/>
      <c r="C186" s="1763"/>
      <c r="D186" s="1763"/>
      <c r="E186" s="1181"/>
      <c r="I186" s="1172"/>
      <c r="J186" s="1172"/>
      <c r="K186" s="1172"/>
      <c r="L186" s="1172"/>
      <c r="M186" s="1172"/>
      <c r="N186" s="1172"/>
      <c r="O186" s="1172"/>
      <c r="P186" s="1244"/>
      <c r="R186" s="1182"/>
      <c r="S186" s="1182"/>
      <c r="T186" s="1182"/>
      <c r="U186" s="1182"/>
      <c r="V186" s="1182"/>
      <c r="W186" s="1182"/>
      <c r="X186" s="1182"/>
      <c r="Y186" s="1182"/>
    </row>
    <row r="187" spans="1:25" x14ac:dyDescent="0.2">
      <c r="A187" s="1763"/>
      <c r="B187" s="1763"/>
      <c r="C187" s="1763"/>
      <c r="D187" s="1763"/>
      <c r="E187" s="1181"/>
      <c r="I187" s="1172"/>
      <c r="J187" s="1172"/>
      <c r="K187" s="1172"/>
      <c r="L187" s="1172"/>
      <c r="M187" s="1172"/>
      <c r="N187" s="1172"/>
      <c r="O187" s="1172"/>
      <c r="P187" s="1244"/>
      <c r="R187" s="1182"/>
      <c r="S187" s="1182"/>
      <c r="T187" s="1182"/>
      <c r="U187" s="1182"/>
      <c r="V187" s="1182"/>
      <c r="W187" s="1182"/>
      <c r="X187" s="1182"/>
      <c r="Y187" s="1182"/>
    </row>
    <row r="188" spans="1:25" x14ac:dyDescent="0.2">
      <c r="A188" s="1763"/>
      <c r="B188" s="1763"/>
      <c r="C188" s="1763"/>
      <c r="D188" s="1763"/>
      <c r="E188" s="1181"/>
      <c r="I188" s="1172"/>
      <c r="J188" s="1172"/>
      <c r="K188" s="1172"/>
      <c r="L188" s="1172"/>
      <c r="M188" s="1172"/>
      <c r="N188" s="1172"/>
      <c r="O188" s="1172"/>
      <c r="P188" s="1244"/>
      <c r="R188" s="1182"/>
      <c r="S188" s="1182"/>
      <c r="T188" s="1182"/>
      <c r="U188" s="1182"/>
      <c r="V188" s="1182"/>
      <c r="W188" s="1182"/>
      <c r="X188" s="1182"/>
      <c r="Y188" s="1182"/>
    </row>
    <row r="189" spans="1:25" x14ac:dyDescent="0.2">
      <c r="A189" s="1763"/>
      <c r="B189" s="1763"/>
      <c r="C189" s="1763"/>
      <c r="D189" s="1763"/>
      <c r="E189" s="1181"/>
      <c r="I189" s="1172"/>
      <c r="J189" s="1172"/>
      <c r="K189" s="1172"/>
      <c r="L189" s="1172"/>
      <c r="M189" s="1172"/>
      <c r="N189" s="1172"/>
      <c r="O189" s="1172"/>
      <c r="P189" s="1244"/>
      <c r="R189" s="1182"/>
      <c r="S189" s="1182"/>
      <c r="T189" s="1182"/>
      <c r="U189" s="1182"/>
      <c r="V189" s="1182"/>
      <c r="W189" s="1182"/>
      <c r="X189" s="1182"/>
      <c r="Y189" s="1182"/>
    </row>
    <row r="190" spans="1:25" x14ac:dyDescent="0.2">
      <c r="A190" s="1763"/>
      <c r="B190" s="1763"/>
      <c r="C190" s="1763"/>
      <c r="D190" s="1763"/>
      <c r="E190" s="1181"/>
      <c r="I190" s="1172"/>
      <c r="J190" s="1172"/>
      <c r="K190" s="1172"/>
      <c r="L190" s="1172"/>
      <c r="M190" s="1172"/>
      <c r="N190" s="1172"/>
      <c r="O190" s="1172"/>
      <c r="P190" s="1244"/>
      <c r="R190" s="1182"/>
      <c r="S190" s="1182"/>
      <c r="T190" s="1182"/>
      <c r="U190" s="1182"/>
      <c r="V190" s="1182"/>
      <c r="W190" s="1182"/>
      <c r="X190" s="1182"/>
      <c r="Y190" s="1182"/>
    </row>
    <row r="191" spans="1:25" x14ac:dyDescent="0.2">
      <c r="A191" s="1763"/>
      <c r="B191" s="1763"/>
      <c r="C191" s="1763"/>
      <c r="D191" s="1763"/>
      <c r="E191" s="1181"/>
      <c r="I191" s="1172"/>
      <c r="J191" s="1172"/>
      <c r="K191" s="1172"/>
      <c r="L191" s="1172"/>
      <c r="M191" s="1172"/>
      <c r="N191" s="1172"/>
      <c r="O191" s="1172"/>
      <c r="P191" s="1244"/>
      <c r="R191" s="1182"/>
      <c r="S191" s="1182"/>
      <c r="T191" s="1182"/>
      <c r="U191" s="1182"/>
      <c r="V191" s="1182"/>
      <c r="W191" s="1182"/>
      <c r="X191" s="1182"/>
      <c r="Y191" s="1182"/>
    </row>
    <row r="192" spans="1:25" x14ac:dyDescent="0.2">
      <c r="A192" s="1763"/>
      <c r="B192" s="1763"/>
      <c r="C192" s="1763"/>
      <c r="D192" s="1763"/>
      <c r="E192" s="1181"/>
      <c r="I192" s="1172"/>
      <c r="J192" s="1172"/>
      <c r="K192" s="1172"/>
      <c r="L192" s="1172"/>
      <c r="M192" s="1172"/>
      <c r="N192" s="1172"/>
      <c r="O192" s="1172"/>
      <c r="P192" s="1244"/>
      <c r="R192" s="1182"/>
      <c r="S192" s="1182"/>
      <c r="T192" s="1182"/>
      <c r="U192" s="1182"/>
      <c r="V192" s="1182"/>
      <c r="W192" s="1182"/>
      <c r="X192" s="1182"/>
      <c r="Y192" s="1182"/>
    </row>
    <row r="193" spans="1:25" x14ac:dyDescent="0.2">
      <c r="A193" s="1763"/>
      <c r="B193" s="1763"/>
      <c r="C193" s="1763"/>
      <c r="D193" s="1763"/>
      <c r="E193" s="1181"/>
      <c r="I193" s="1172"/>
      <c r="J193" s="1172"/>
      <c r="K193" s="1172"/>
      <c r="L193" s="1172"/>
      <c r="M193" s="1172"/>
      <c r="N193" s="1172"/>
      <c r="O193" s="1172"/>
      <c r="P193" s="1244"/>
      <c r="R193" s="1182"/>
      <c r="S193" s="1182"/>
      <c r="T193" s="1182"/>
      <c r="U193" s="1182"/>
      <c r="V193" s="1182"/>
      <c r="W193" s="1182"/>
      <c r="X193" s="1182"/>
      <c r="Y193" s="1182"/>
    </row>
    <row r="194" spans="1:25" x14ac:dyDescent="0.2">
      <c r="A194" s="1763"/>
      <c r="B194" s="1763"/>
      <c r="C194" s="1763"/>
      <c r="D194" s="1763"/>
      <c r="E194" s="1181"/>
      <c r="I194" s="1172"/>
      <c r="J194" s="1172"/>
      <c r="K194" s="1172"/>
      <c r="L194" s="1172"/>
      <c r="M194" s="1172"/>
      <c r="N194" s="1172"/>
      <c r="O194" s="1172"/>
      <c r="P194" s="1244"/>
      <c r="R194" s="1182"/>
      <c r="S194" s="1182"/>
      <c r="T194" s="1182"/>
      <c r="U194" s="1182"/>
      <c r="V194" s="1182"/>
      <c r="W194" s="1182"/>
      <c r="X194" s="1182"/>
      <c r="Y194" s="1182"/>
    </row>
    <row r="195" spans="1:25" x14ac:dyDescent="0.2">
      <c r="A195" s="1763"/>
      <c r="B195" s="1763"/>
      <c r="C195" s="1763"/>
      <c r="D195" s="1763"/>
      <c r="E195" s="1181"/>
      <c r="I195" s="1172"/>
      <c r="J195" s="1172"/>
      <c r="K195" s="1172"/>
      <c r="L195" s="1172"/>
      <c r="M195" s="1172"/>
      <c r="N195" s="1172"/>
      <c r="O195" s="1172"/>
      <c r="P195" s="1244"/>
      <c r="R195" s="1182"/>
      <c r="S195" s="1182"/>
      <c r="T195" s="1182"/>
      <c r="U195" s="1182"/>
      <c r="V195" s="1182"/>
      <c r="W195" s="1182"/>
      <c r="X195" s="1182"/>
      <c r="Y195" s="1182"/>
    </row>
    <row r="196" spans="1:25" x14ac:dyDescent="0.2">
      <c r="A196" s="1763"/>
      <c r="B196" s="1763"/>
      <c r="C196" s="1763"/>
      <c r="D196" s="1763"/>
      <c r="E196" s="1181"/>
      <c r="I196" s="1172"/>
      <c r="J196" s="1172"/>
      <c r="K196" s="1172"/>
      <c r="L196" s="1172"/>
      <c r="M196" s="1172"/>
      <c r="N196" s="1172"/>
      <c r="O196" s="1172"/>
      <c r="P196" s="1244"/>
      <c r="R196" s="1182"/>
      <c r="S196" s="1182"/>
      <c r="T196" s="1182"/>
      <c r="U196" s="1182"/>
      <c r="V196" s="1182"/>
      <c r="W196" s="1182"/>
      <c r="X196" s="1182"/>
      <c r="Y196" s="1182"/>
    </row>
    <row r="197" spans="1:25" x14ac:dyDescent="0.2">
      <c r="A197" s="1763"/>
      <c r="B197" s="1763"/>
      <c r="C197" s="1763"/>
      <c r="D197" s="1763"/>
      <c r="E197" s="1181"/>
      <c r="I197" s="1172"/>
      <c r="J197" s="1172"/>
      <c r="K197" s="1172"/>
      <c r="L197" s="1172"/>
      <c r="M197" s="1172"/>
      <c r="N197" s="1172"/>
      <c r="O197" s="1172"/>
      <c r="P197" s="1244"/>
      <c r="R197" s="1182"/>
      <c r="S197" s="1182"/>
      <c r="T197" s="1182"/>
      <c r="U197" s="1182"/>
      <c r="V197" s="1182"/>
      <c r="W197" s="1182"/>
      <c r="X197" s="1182"/>
      <c r="Y197" s="1182"/>
    </row>
    <row r="198" spans="1:25" x14ac:dyDescent="0.2">
      <c r="A198" s="1763"/>
      <c r="B198" s="1763"/>
      <c r="C198" s="1763"/>
      <c r="D198" s="1763"/>
      <c r="E198" s="1181"/>
      <c r="I198" s="1172"/>
      <c r="J198" s="1172"/>
      <c r="K198" s="1172"/>
      <c r="L198" s="1172"/>
      <c r="M198" s="1172"/>
      <c r="N198" s="1172"/>
      <c r="O198" s="1172"/>
      <c r="P198" s="1244"/>
      <c r="R198" s="1182"/>
      <c r="S198" s="1182"/>
      <c r="T198" s="1182"/>
      <c r="U198" s="1182"/>
      <c r="V198" s="1182"/>
      <c r="W198" s="1182"/>
      <c r="X198" s="1182"/>
      <c r="Y198" s="1182"/>
    </row>
    <row r="199" spans="1:25" x14ac:dyDescent="0.2">
      <c r="A199" s="1763"/>
      <c r="B199" s="1763"/>
      <c r="C199" s="1763"/>
      <c r="D199" s="1763"/>
      <c r="E199" s="1181"/>
      <c r="I199" s="1172"/>
      <c r="J199" s="1172"/>
      <c r="K199" s="1172"/>
      <c r="L199" s="1172"/>
      <c r="M199" s="1172"/>
      <c r="N199" s="1172"/>
      <c r="O199" s="1172"/>
      <c r="P199" s="1244"/>
      <c r="R199" s="1182"/>
      <c r="S199" s="1182"/>
      <c r="T199" s="1182"/>
      <c r="U199" s="1182"/>
      <c r="V199" s="1182"/>
      <c r="W199" s="1182"/>
      <c r="X199" s="1182"/>
      <c r="Y199" s="1182"/>
    </row>
    <row r="200" spans="1:25" x14ac:dyDescent="0.2">
      <c r="A200" s="1763"/>
      <c r="B200" s="1763"/>
      <c r="C200" s="1763"/>
      <c r="D200" s="1763"/>
      <c r="E200" s="1181"/>
      <c r="I200" s="1172"/>
      <c r="J200" s="1172"/>
      <c r="K200" s="1172"/>
      <c r="L200" s="1172"/>
      <c r="M200" s="1172"/>
      <c r="N200" s="1172"/>
      <c r="O200" s="1172"/>
      <c r="P200" s="1244"/>
      <c r="R200" s="1182"/>
      <c r="S200" s="1182"/>
      <c r="T200" s="1182"/>
      <c r="U200" s="1182"/>
      <c r="V200" s="1182"/>
      <c r="W200" s="1182"/>
      <c r="X200" s="1182"/>
      <c r="Y200" s="1182"/>
    </row>
    <row r="201" spans="1:25" x14ac:dyDescent="0.2">
      <c r="A201" s="1763"/>
      <c r="B201" s="1763"/>
      <c r="C201" s="1763"/>
      <c r="D201" s="1763"/>
      <c r="E201" s="1181"/>
      <c r="I201" s="1172"/>
      <c r="J201" s="1172"/>
      <c r="K201" s="1172"/>
      <c r="L201" s="1172"/>
      <c r="M201" s="1172"/>
      <c r="N201" s="1172"/>
      <c r="O201" s="1172"/>
      <c r="P201" s="1244"/>
      <c r="R201" s="1182"/>
      <c r="S201" s="1182"/>
      <c r="T201" s="1182"/>
      <c r="U201" s="1182"/>
      <c r="V201" s="1182"/>
      <c r="W201" s="1182"/>
      <c r="X201" s="1182"/>
      <c r="Y201" s="1182"/>
    </row>
    <row r="202" spans="1:25" x14ac:dyDescent="0.2">
      <c r="A202" s="1763"/>
      <c r="B202" s="1763"/>
      <c r="C202" s="1763"/>
      <c r="D202" s="1763"/>
      <c r="E202" s="1181"/>
      <c r="I202" s="1172"/>
      <c r="J202" s="1172"/>
      <c r="K202" s="1172"/>
      <c r="L202" s="1172"/>
      <c r="M202" s="1172"/>
      <c r="N202" s="1172"/>
      <c r="O202" s="1172"/>
      <c r="P202" s="1244"/>
      <c r="R202" s="1182"/>
      <c r="S202" s="1182"/>
      <c r="T202" s="1182"/>
      <c r="U202" s="1182"/>
      <c r="V202" s="1182"/>
      <c r="W202" s="1182"/>
      <c r="X202" s="1182"/>
      <c r="Y202" s="1182"/>
    </row>
    <row r="203" spans="1:25" x14ac:dyDescent="0.2">
      <c r="A203" s="1763"/>
      <c r="B203" s="1763"/>
      <c r="C203" s="1763"/>
      <c r="D203" s="1763"/>
      <c r="E203" s="1181"/>
      <c r="I203" s="1172"/>
      <c r="J203" s="1172"/>
      <c r="K203" s="1172"/>
      <c r="L203" s="1172"/>
      <c r="M203" s="1172"/>
      <c r="N203" s="1172"/>
      <c r="O203" s="1172"/>
      <c r="P203" s="1244"/>
      <c r="R203" s="1182"/>
      <c r="S203" s="1182"/>
      <c r="T203" s="1182"/>
      <c r="U203" s="1182"/>
      <c r="V203" s="1182"/>
      <c r="W203" s="1182"/>
      <c r="X203" s="1182"/>
      <c r="Y203" s="1182"/>
    </row>
    <row r="204" spans="1:25" x14ac:dyDescent="0.2">
      <c r="A204" s="1763"/>
      <c r="B204" s="1763"/>
      <c r="C204" s="1763"/>
      <c r="D204" s="1763"/>
      <c r="E204" s="1181"/>
      <c r="I204" s="1172"/>
      <c r="J204" s="1172"/>
      <c r="K204" s="1172"/>
      <c r="L204" s="1172"/>
      <c r="M204" s="1172"/>
      <c r="N204" s="1172"/>
      <c r="O204" s="1172"/>
      <c r="P204" s="1244"/>
      <c r="R204" s="1182"/>
      <c r="S204" s="1182"/>
      <c r="T204" s="1182"/>
      <c r="U204" s="1182"/>
      <c r="V204" s="1182"/>
      <c r="W204" s="1182"/>
      <c r="X204" s="1182"/>
      <c r="Y204" s="1182"/>
    </row>
    <row r="205" spans="1:25" x14ac:dyDescent="0.2">
      <c r="A205" s="1763"/>
      <c r="B205" s="1763"/>
      <c r="C205" s="1763"/>
      <c r="D205" s="1763"/>
      <c r="E205" s="1181"/>
      <c r="I205" s="1172"/>
      <c r="J205" s="1172"/>
      <c r="K205" s="1172"/>
      <c r="L205" s="1172"/>
      <c r="M205" s="1172"/>
      <c r="N205" s="1172"/>
      <c r="O205" s="1172"/>
      <c r="P205" s="1244"/>
      <c r="R205" s="1182"/>
      <c r="S205" s="1182"/>
      <c r="T205" s="1182"/>
      <c r="U205" s="1182"/>
      <c r="V205" s="1182"/>
      <c r="W205" s="1182"/>
      <c r="X205" s="1182"/>
      <c r="Y205" s="1182"/>
    </row>
    <row r="206" spans="1:25" x14ac:dyDescent="0.2">
      <c r="A206" s="1763"/>
      <c r="B206" s="1763"/>
      <c r="C206" s="1763"/>
      <c r="D206" s="1763"/>
      <c r="E206" s="1181"/>
      <c r="I206" s="1172"/>
      <c r="J206" s="1172"/>
      <c r="K206" s="1172"/>
      <c r="L206" s="1172"/>
      <c r="M206" s="1172"/>
      <c r="N206" s="1172"/>
      <c r="O206" s="1172"/>
      <c r="P206" s="1244"/>
      <c r="R206" s="1182"/>
      <c r="S206" s="1182"/>
      <c r="T206" s="1182"/>
      <c r="U206" s="1182"/>
      <c r="V206" s="1182"/>
      <c r="W206" s="1182"/>
      <c r="X206" s="1182"/>
      <c r="Y206" s="1182"/>
    </row>
    <row r="207" spans="1:25" x14ac:dyDescent="0.2">
      <c r="A207" s="1763"/>
      <c r="B207" s="1763"/>
      <c r="C207" s="1763"/>
      <c r="D207" s="1763"/>
      <c r="E207" s="1181"/>
      <c r="I207" s="1172"/>
      <c r="J207" s="1172"/>
      <c r="K207" s="1172"/>
      <c r="L207" s="1172"/>
      <c r="M207" s="1172"/>
      <c r="N207" s="1172"/>
      <c r="O207" s="1172"/>
      <c r="P207" s="1244"/>
      <c r="R207" s="1182"/>
      <c r="S207" s="1182"/>
      <c r="T207" s="1182"/>
      <c r="U207" s="1182"/>
      <c r="V207" s="1182"/>
      <c r="W207" s="1182"/>
      <c r="X207" s="1182"/>
      <c r="Y207" s="1182"/>
    </row>
    <row r="208" spans="1:25" x14ac:dyDescent="0.2">
      <c r="A208" s="1763"/>
      <c r="B208" s="1763"/>
      <c r="C208" s="1763"/>
      <c r="D208" s="1763"/>
      <c r="E208" s="1181"/>
      <c r="I208" s="1172"/>
      <c r="J208" s="1172"/>
      <c r="K208" s="1172"/>
      <c r="L208" s="1172"/>
      <c r="M208" s="1172"/>
      <c r="N208" s="1172"/>
      <c r="O208" s="1172"/>
      <c r="P208" s="1244"/>
      <c r="R208" s="1182"/>
      <c r="S208" s="1182"/>
      <c r="T208" s="1182"/>
      <c r="U208" s="1182"/>
      <c r="V208" s="1182"/>
      <c r="W208" s="1182"/>
      <c r="X208" s="1182"/>
      <c r="Y208" s="1182"/>
    </row>
    <row r="209" spans="1:25" x14ac:dyDescent="0.2">
      <c r="A209" s="1763"/>
      <c r="B209" s="1763"/>
      <c r="C209" s="1763"/>
      <c r="D209" s="1763"/>
      <c r="E209" s="1181"/>
      <c r="I209" s="1172"/>
      <c r="J209" s="1172"/>
      <c r="K209" s="1172"/>
      <c r="L209" s="1172"/>
      <c r="M209" s="1172"/>
      <c r="N209" s="1172"/>
      <c r="O209" s="1172"/>
      <c r="P209" s="1244"/>
      <c r="R209" s="1182"/>
      <c r="S209" s="1182"/>
      <c r="T209" s="1182"/>
      <c r="U209" s="1182"/>
      <c r="V209" s="1182"/>
      <c r="W209" s="1182"/>
      <c r="X209" s="1182"/>
      <c r="Y209" s="1182"/>
    </row>
    <row r="210" spans="1:25" x14ac:dyDescent="0.2">
      <c r="A210" s="1763"/>
      <c r="B210" s="1763"/>
      <c r="C210" s="1763"/>
      <c r="D210" s="1763"/>
      <c r="E210" s="1181"/>
      <c r="I210" s="1172"/>
      <c r="J210" s="1172"/>
      <c r="K210" s="1172"/>
      <c r="L210" s="1172"/>
      <c r="M210" s="1172"/>
      <c r="N210" s="1172"/>
      <c r="O210" s="1172"/>
      <c r="P210" s="1244"/>
      <c r="R210" s="1182"/>
      <c r="S210" s="1182"/>
      <c r="T210" s="1182"/>
      <c r="U210" s="1182"/>
      <c r="V210" s="1182"/>
      <c r="W210" s="1182"/>
      <c r="X210" s="1182"/>
      <c r="Y210" s="1182"/>
    </row>
    <row r="211" spans="1:25" x14ac:dyDescent="0.2">
      <c r="A211" s="1763"/>
      <c r="B211" s="1763"/>
      <c r="C211" s="1763"/>
      <c r="D211" s="1763"/>
      <c r="E211" s="1181"/>
      <c r="I211" s="1172"/>
      <c r="J211" s="1172"/>
      <c r="K211" s="1172"/>
      <c r="L211" s="1172"/>
      <c r="M211" s="1172"/>
      <c r="N211" s="1172"/>
      <c r="O211" s="1172"/>
      <c r="P211" s="1244"/>
      <c r="R211" s="1182"/>
      <c r="S211" s="1182"/>
      <c r="T211" s="1182"/>
      <c r="U211" s="1182"/>
      <c r="V211" s="1182"/>
      <c r="W211" s="1182"/>
      <c r="X211" s="1182"/>
      <c r="Y211" s="1182"/>
    </row>
    <row r="212" spans="1:25" x14ac:dyDescent="0.2">
      <c r="A212" s="1763"/>
      <c r="B212" s="1763"/>
      <c r="C212" s="1763"/>
      <c r="D212" s="1763"/>
      <c r="E212" s="1181"/>
      <c r="I212" s="1172"/>
      <c r="J212" s="1172"/>
      <c r="K212" s="1172"/>
      <c r="L212" s="1172"/>
      <c r="M212" s="1172"/>
      <c r="N212" s="1172"/>
      <c r="O212" s="1172"/>
      <c r="P212" s="1244"/>
      <c r="R212" s="1182"/>
      <c r="S212" s="1182"/>
      <c r="T212" s="1182"/>
      <c r="U212" s="1182"/>
      <c r="V212" s="1182"/>
      <c r="W212" s="1182"/>
      <c r="X212" s="1182"/>
      <c r="Y212" s="1182"/>
    </row>
    <row r="213" spans="1:25" x14ac:dyDescent="0.2">
      <c r="A213" s="1763"/>
      <c r="B213" s="1763"/>
      <c r="C213" s="1763"/>
      <c r="D213" s="1763"/>
      <c r="E213" s="1181"/>
      <c r="I213" s="1172"/>
      <c r="J213" s="1172"/>
      <c r="K213" s="1172"/>
      <c r="L213" s="1172"/>
      <c r="M213" s="1172"/>
      <c r="N213" s="1172"/>
      <c r="O213" s="1172"/>
      <c r="P213" s="1244"/>
      <c r="R213" s="1182"/>
      <c r="S213" s="1182"/>
      <c r="T213" s="1182"/>
      <c r="U213" s="1182"/>
      <c r="V213" s="1182"/>
      <c r="W213" s="1182"/>
      <c r="X213" s="1182"/>
      <c r="Y213" s="1182"/>
    </row>
    <row r="214" spans="1:25" x14ac:dyDescent="0.2">
      <c r="A214" s="1763"/>
      <c r="B214" s="1763"/>
      <c r="C214" s="1763"/>
      <c r="D214" s="1763"/>
      <c r="E214" s="1181"/>
      <c r="I214" s="1172"/>
      <c r="J214" s="1172"/>
      <c r="K214" s="1172"/>
      <c r="L214" s="1172"/>
      <c r="M214" s="1172"/>
      <c r="N214" s="1172"/>
      <c r="O214" s="1172"/>
      <c r="P214" s="1244"/>
      <c r="R214" s="1182"/>
      <c r="S214" s="1182"/>
      <c r="T214" s="1182"/>
      <c r="U214" s="1182"/>
      <c r="V214" s="1182"/>
      <c r="W214" s="1182"/>
      <c r="X214" s="1182"/>
      <c r="Y214" s="1182"/>
    </row>
    <row r="215" spans="1:25" x14ac:dyDescent="0.2">
      <c r="A215" s="1763"/>
      <c r="B215" s="1763"/>
      <c r="C215" s="1763"/>
      <c r="D215" s="1763"/>
      <c r="E215" s="1181"/>
      <c r="I215" s="1172"/>
      <c r="J215" s="1172"/>
      <c r="K215" s="1172"/>
      <c r="L215" s="1172"/>
      <c r="M215" s="1172"/>
      <c r="N215" s="1172"/>
      <c r="O215" s="1172"/>
      <c r="P215" s="1244"/>
      <c r="R215" s="1182"/>
      <c r="S215" s="1182"/>
      <c r="T215" s="1182"/>
      <c r="U215" s="1182"/>
      <c r="V215" s="1182"/>
      <c r="W215" s="1182"/>
      <c r="X215" s="1182"/>
      <c r="Y215" s="1182"/>
    </row>
    <row r="216" spans="1:25" x14ac:dyDescent="0.2">
      <c r="A216" s="1763"/>
      <c r="B216" s="1763"/>
      <c r="C216" s="1763"/>
      <c r="D216" s="1763"/>
      <c r="E216" s="1181"/>
      <c r="I216" s="1172"/>
      <c r="J216" s="1172"/>
      <c r="K216" s="1172"/>
      <c r="L216" s="1172"/>
      <c r="M216" s="1172"/>
      <c r="N216" s="1172"/>
      <c r="O216" s="1172"/>
      <c r="P216" s="1244"/>
      <c r="R216" s="1182"/>
      <c r="S216" s="1182"/>
      <c r="T216" s="1182"/>
      <c r="U216" s="1182"/>
      <c r="V216" s="1182"/>
      <c r="W216" s="1182"/>
      <c r="X216" s="1182"/>
      <c r="Y216" s="1182"/>
    </row>
    <row r="217" spans="1:25" x14ac:dyDescent="0.2">
      <c r="A217" s="1763"/>
      <c r="B217" s="1763"/>
      <c r="C217" s="1763"/>
      <c r="D217" s="1763"/>
      <c r="E217" s="1181"/>
      <c r="I217" s="1172"/>
      <c r="J217" s="1172"/>
      <c r="K217" s="1172"/>
      <c r="L217" s="1172"/>
      <c r="M217" s="1172"/>
      <c r="N217" s="1172"/>
      <c r="O217" s="1172"/>
      <c r="P217" s="1244"/>
      <c r="R217" s="1182"/>
      <c r="S217" s="1182"/>
      <c r="T217" s="1182"/>
      <c r="U217" s="1182"/>
      <c r="V217" s="1182"/>
      <c r="W217" s="1182"/>
      <c r="X217" s="1182"/>
      <c r="Y217" s="1182"/>
    </row>
    <row r="218" spans="1:25" x14ac:dyDescent="0.2">
      <c r="A218" s="1763"/>
      <c r="B218" s="1763"/>
      <c r="C218" s="1763"/>
      <c r="D218" s="1763"/>
      <c r="E218" s="1181"/>
      <c r="I218" s="1172"/>
      <c r="J218" s="1172"/>
      <c r="K218" s="1172"/>
      <c r="L218" s="1172"/>
      <c r="M218" s="1172"/>
      <c r="N218" s="1172"/>
      <c r="O218" s="1172"/>
      <c r="P218" s="1244"/>
      <c r="R218" s="1182"/>
      <c r="S218" s="1182"/>
      <c r="T218" s="1182"/>
      <c r="U218" s="1182"/>
      <c r="V218" s="1182"/>
      <c r="W218" s="1182"/>
      <c r="X218" s="1182"/>
      <c r="Y218" s="1182"/>
    </row>
    <row r="219" spans="1:25" x14ac:dyDescent="0.2">
      <c r="A219" s="1763"/>
      <c r="B219" s="1763"/>
      <c r="C219" s="1763"/>
      <c r="D219" s="1763"/>
      <c r="E219" s="1181"/>
      <c r="I219" s="1172"/>
      <c r="J219" s="1172"/>
      <c r="K219" s="1172"/>
      <c r="L219" s="1172"/>
      <c r="M219" s="1172"/>
      <c r="N219" s="1172"/>
      <c r="O219" s="1172"/>
      <c r="P219" s="1244"/>
      <c r="R219" s="1182"/>
      <c r="S219" s="1182"/>
      <c r="T219" s="1182"/>
      <c r="U219" s="1182"/>
      <c r="V219" s="1182"/>
      <c r="W219" s="1182"/>
      <c r="X219" s="1182"/>
      <c r="Y219" s="1182"/>
    </row>
    <row r="220" spans="1:25" x14ac:dyDescent="0.2">
      <c r="A220" s="1763"/>
      <c r="B220" s="1763"/>
      <c r="C220" s="1763"/>
      <c r="D220" s="1763"/>
      <c r="E220" s="1181"/>
      <c r="I220" s="1172"/>
      <c r="J220" s="1172"/>
      <c r="K220" s="1172"/>
      <c r="L220" s="1172"/>
      <c r="M220" s="1172"/>
      <c r="N220" s="1172"/>
      <c r="O220" s="1172"/>
      <c r="P220" s="1244"/>
      <c r="R220" s="1182"/>
      <c r="S220" s="1182"/>
      <c r="T220" s="1182"/>
      <c r="U220" s="1182"/>
      <c r="V220" s="1182"/>
      <c r="W220" s="1182"/>
      <c r="X220" s="1182"/>
      <c r="Y220" s="1182"/>
    </row>
    <row r="221" spans="1:25" x14ac:dyDescent="0.2">
      <c r="A221" s="1763"/>
      <c r="B221" s="1763"/>
      <c r="C221" s="1763"/>
      <c r="D221" s="1763"/>
      <c r="E221" s="1181"/>
      <c r="I221" s="1172"/>
      <c r="J221" s="1172"/>
      <c r="K221" s="1172"/>
      <c r="L221" s="1172"/>
      <c r="M221" s="1172"/>
      <c r="N221" s="1172"/>
      <c r="O221" s="1172"/>
      <c r="P221" s="1244"/>
      <c r="R221" s="1182"/>
      <c r="S221" s="1182"/>
      <c r="T221" s="1182"/>
      <c r="U221" s="1182"/>
      <c r="V221" s="1182"/>
      <c r="W221" s="1182"/>
      <c r="X221" s="1182"/>
      <c r="Y221" s="1182"/>
    </row>
    <row r="222" spans="1:25" x14ac:dyDescent="0.2">
      <c r="A222" s="1763"/>
      <c r="B222" s="1763"/>
      <c r="C222" s="1763"/>
      <c r="D222" s="1763"/>
      <c r="E222" s="1181"/>
      <c r="I222" s="1172"/>
      <c r="J222" s="1172"/>
      <c r="K222" s="1172"/>
      <c r="L222" s="1172"/>
      <c r="M222" s="1172"/>
      <c r="N222" s="1172"/>
      <c r="O222" s="1172"/>
      <c r="P222" s="1244"/>
      <c r="R222" s="1182"/>
      <c r="S222" s="1182"/>
      <c r="T222" s="1182"/>
      <c r="U222" s="1182"/>
      <c r="V222" s="1182"/>
      <c r="W222" s="1182"/>
      <c r="X222" s="1182"/>
      <c r="Y222" s="1182"/>
    </row>
    <row r="223" spans="1:25" x14ac:dyDescent="0.2">
      <c r="A223" s="1763"/>
      <c r="B223" s="1763"/>
      <c r="C223" s="1763"/>
      <c r="D223" s="1763"/>
      <c r="E223" s="1181"/>
      <c r="I223" s="1172"/>
      <c r="J223" s="1172"/>
      <c r="K223" s="1172"/>
      <c r="L223" s="1172"/>
      <c r="M223" s="1172"/>
      <c r="N223" s="1172"/>
      <c r="O223" s="1172"/>
      <c r="P223" s="1244"/>
      <c r="R223" s="1182"/>
      <c r="S223" s="1182"/>
      <c r="T223" s="1182"/>
      <c r="U223" s="1182"/>
      <c r="V223" s="1182"/>
      <c r="W223" s="1182"/>
      <c r="X223" s="1182"/>
      <c r="Y223" s="1182"/>
    </row>
    <row r="224" spans="1:25" x14ac:dyDescent="0.2">
      <c r="A224" s="1763"/>
      <c r="B224" s="1763"/>
      <c r="C224" s="1763"/>
      <c r="D224" s="1763"/>
      <c r="E224" s="1181"/>
      <c r="I224" s="1172"/>
      <c r="J224" s="1172"/>
      <c r="K224" s="1172"/>
      <c r="L224" s="1172"/>
      <c r="M224" s="1172"/>
      <c r="N224" s="1172"/>
      <c r="O224" s="1172"/>
      <c r="P224" s="1244"/>
      <c r="R224" s="1182"/>
      <c r="S224" s="1182"/>
      <c r="T224" s="1182"/>
      <c r="U224" s="1182"/>
      <c r="V224" s="1182"/>
      <c r="W224" s="1182"/>
      <c r="X224" s="1182"/>
      <c r="Y224" s="1182"/>
    </row>
    <row r="225" spans="1:25" x14ac:dyDescent="0.2">
      <c r="A225" s="1763"/>
      <c r="B225" s="1763"/>
      <c r="C225" s="1763"/>
      <c r="D225" s="1763"/>
      <c r="E225" s="1181"/>
      <c r="I225" s="1172"/>
      <c r="J225" s="1172"/>
      <c r="K225" s="1172"/>
      <c r="L225" s="1172"/>
      <c r="M225" s="1172"/>
      <c r="N225" s="1172"/>
      <c r="O225" s="1172"/>
      <c r="P225" s="1244"/>
      <c r="R225" s="1182"/>
      <c r="S225" s="1182"/>
      <c r="T225" s="1182"/>
      <c r="U225" s="1182"/>
      <c r="V225" s="1182"/>
      <c r="W225" s="1182"/>
      <c r="X225" s="1182"/>
      <c r="Y225" s="1182"/>
    </row>
    <row r="226" spans="1:25" x14ac:dyDescent="0.2">
      <c r="A226" s="1763"/>
      <c r="B226" s="1763"/>
      <c r="C226" s="1763"/>
      <c r="D226" s="1763"/>
      <c r="E226" s="1181"/>
      <c r="I226" s="1172"/>
      <c r="J226" s="1172"/>
      <c r="K226" s="1172"/>
      <c r="L226" s="1172"/>
      <c r="M226" s="1172"/>
      <c r="N226" s="1172"/>
      <c r="O226" s="1172"/>
      <c r="P226" s="1244"/>
      <c r="R226" s="1182"/>
      <c r="S226" s="1182"/>
      <c r="T226" s="1182"/>
      <c r="U226" s="1182"/>
      <c r="V226" s="1182"/>
      <c r="W226" s="1182"/>
      <c r="X226" s="1182"/>
      <c r="Y226" s="1182"/>
    </row>
    <row r="227" spans="1:25" x14ac:dyDescent="0.2">
      <c r="A227" s="1763"/>
      <c r="B227" s="1763"/>
      <c r="C227" s="1763"/>
      <c r="D227" s="1763"/>
      <c r="E227" s="1181"/>
      <c r="I227" s="1172"/>
      <c r="J227" s="1172"/>
      <c r="K227" s="1172"/>
      <c r="L227" s="1172"/>
      <c r="M227" s="1172"/>
      <c r="N227" s="1172"/>
      <c r="O227" s="1172"/>
      <c r="P227" s="1244"/>
      <c r="R227" s="1182"/>
      <c r="S227" s="1182"/>
      <c r="T227" s="1182"/>
      <c r="U227" s="1182"/>
      <c r="V227" s="1182"/>
      <c r="W227" s="1182"/>
      <c r="X227" s="1182"/>
      <c r="Y227" s="1182"/>
    </row>
    <row r="228" spans="1:25" x14ac:dyDescent="0.2">
      <c r="A228" s="1763"/>
      <c r="B228" s="1763"/>
      <c r="C228" s="1763"/>
      <c r="D228" s="1763"/>
      <c r="E228" s="1181"/>
      <c r="I228" s="1172"/>
      <c r="J228" s="1172"/>
      <c r="K228" s="1172"/>
      <c r="L228" s="1172"/>
      <c r="M228" s="1172"/>
      <c r="N228" s="1172"/>
      <c r="O228" s="1172"/>
      <c r="P228" s="1244"/>
      <c r="R228" s="1182"/>
      <c r="S228" s="1182"/>
      <c r="T228" s="1182"/>
      <c r="U228" s="1182"/>
      <c r="V228" s="1182"/>
      <c r="W228" s="1182"/>
      <c r="X228" s="1182"/>
      <c r="Y228" s="1182"/>
    </row>
    <row r="229" spans="1:25" x14ac:dyDescent="0.2">
      <c r="A229" s="1763"/>
      <c r="B229" s="1763"/>
      <c r="C229" s="1763"/>
      <c r="D229" s="1763"/>
      <c r="E229" s="1181"/>
      <c r="I229" s="1172"/>
      <c r="J229" s="1172"/>
      <c r="K229" s="1172"/>
      <c r="L229" s="1172"/>
      <c r="M229" s="1172"/>
      <c r="N229" s="1172"/>
      <c r="O229" s="1172"/>
      <c r="P229" s="1244"/>
      <c r="R229" s="1182"/>
      <c r="S229" s="1182"/>
      <c r="T229" s="1182"/>
      <c r="U229" s="1182"/>
      <c r="V229" s="1182"/>
      <c r="W229" s="1182"/>
      <c r="X229" s="1182"/>
      <c r="Y229" s="1182"/>
    </row>
    <row r="230" spans="1:25" x14ac:dyDescent="0.2">
      <c r="A230" s="1763"/>
      <c r="B230" s="1763"/>
      <c r="C230" s="1763"/>
      <c r="D230" s="1763"/>
      <c r="E230" s="1181"/>
      <c r="I230" s="1172"/>
      <c r="J230" s="1172"/>
      <c r="K230" s="1172"/>
      <c r="L230" s="1172"/>
      <c r="M230" s="1172"/>
      <c r="N230" s="1172"/>
      <c r="O230" s="1172"/>
      <c r="P230" s="1244"/>
      <c r="R230" s="1182"/>
      <c r="S230" s="1182"/>
      <c r="T230" s="1182"/>
      <c r="U230" s="1182"/>
      <c r="V230" s="1182"/>
      <c r="W230" s="1182"/>
      <c r="X230" s="1182"/>
      <c r="Y230" s="1182"/>
    </row>
    <row r="231" spans="1:25" x14ac:dyDescent="0.2">
      <c r="A231" s="1763"/>
      <c r="B231" s="1763"/>
      <c r="C231" s="1763"/>
      <c r="D231" s="1763"/>
      <c r="E231" s="1181"/>
      <c r="I231" s="1172"/>
      <c r="J231" s="1172"/>
      <c r="K231" s="1172"/>
      <c r="L231" s="1172"/>
      <c r="M231" s="1172"/>
      <c r="N231" s="1172"/>
      <c r="O231" s="1172"/>
      <c r="P231" s="1244"/>
      <c r="R231" s="1182"/>
      <c r="S231" s="1182"/>
      <c r="T231" s="1182"/>
      <c r="U231" s="1182"/>
      <c r="V231" s="1182"/>
      <c r="W231" s="1182"/>
      <c r="X231" s="1182"/>
      <c r="Y231" s="1182"/>
    </row>
    <row r="232" spans="1:25" x14ac:dyDescent="0.2">
      <c r="A232" s="1763"/>
      <c r="B232" s="1763"/>
      <c r="C232" s="1763"/>
      <c r="D232" s="1763"/>
      <c r="E232" s="1181"/>
      <c r="I232" s="1172"/>
      <c r="J232" s="1172"/>
      <c r="K232" s="1172"/>
      <c r="L232" s="1172"/>
      <c r="M232" s="1172"/>
      <c r="N232" s="1172"/>
      <c r="O232" s="1172"/>
      <c r="P232" s="1244"/>
      <c r="R232" s="1182"/>
      <c r="S232" s="1182"/>
      <c r="T232" s="1182"/>
      <c r="U232" s="1182"/>
      <c r="V232" s="1182"/>
      <c r="W232" s="1182"/>
      <c r="X232" s="1182"/>
      <c r="Y232" s="1182"/>
    </row>
    <row r="233" spans="1:25" x14ac:dyDescent="0.2">
      <c r="A233" s="1763"/>
      <c r="B233" s="1763"/>
      <c r="C233" s="1763"/>
      <c r="D233" s="1763"/>
      <c r="E233" s="1181"/>
      <c r="I233" s="1172"/>
      <c r="J233" s="1172"/>
      <c r="K233" s="1172"/>
      <c r="L233" s="1172"/>
      <c r="M233" s="1172"/>
      <c r="N233" s="1172"/>
      <c r="O233" s="1172"/>
      <c r="P233" s="1244"/>
      <c r="R233" s="1182"/>
      <c r="S233" s="1182"/>
      <c r="T233" s="1182"/>
      <c r="U233" s="1182"/>
      <c r="V233" s="1182"/>
      <c r="W233" s="1182"/>
      <c r="X233" s="1182"/>
      <c r="Y233" s="1182"/>
    </row>
    <row r="234" spans="1:25" x14ac:dyDescent="0.2">
      <c r="A234" s="1763"/>
      <c r="B234" s="1763"/>
      <c r="C234" s="1763"/>
      <c r="D234" s="1763"/>
      <c r="E234" s="1181"/>
      <c r="I234" s="1172"/>
      <c r="J234" s="1172"/>
      <c r="K234" s="1172"/>
      <c r="L234" s="1172"/>
      <c r="M234" s="1172"/>
      <c r="N234" s="1172"/>
      <c r="O234" s="1172"/>
      <c r="P234" s="1244"/>
      <c r="R234" s="1182"/>
      <c r="S234" s="1182"/>
      <c r="T234" s="1182"/>
      <c r="U234" s="1182"/>
      <c r="V234" s="1182"/>
      <c r="W234" s="1182"/>
      <c r="X234" s="1182"/>
      <c r="Y234" s="1182"/>
    </row>
    <row r="235" spans="1:25" x14ac:dyDescent="0.2">
      <c r="A235" s="1763"/>
      <c r="B235" s="1763"/>
      <c r="C235" s="1763"/>
      <c r="D235" s="1763"/>
      <c r="E235" s="1181"/>
      <c r="I235" s="1172"/>
      <c r="J235" s="1172"/>
      <c r="K235" s="1172"/>
      <c r="L235" s="1172"/>
      <c r="M235" s="1172"/>
      <c r="N235" s="1172"/>
      <c r="O235" s="1172"/>
      <c r="P235" s="1244"/>
      <c r="R235" s="1182"/>
      <c r="S235" s="1182"/>
      <c r="T235" s="1182"/>
      <c r="U235" s="1182"/>
      <c r="V235" s="1182"/>
      <c r="W235" s="1182"/>
      <c r="X235" s="1182"/>
      <c r="Y235" s="1182"/>
    </row>
    <row r="236" spans="1:25" x14ac:dyDescent="0.2">
      <c r="A236" s="1763"/>
      <c r="B236" s="1763"/>
      <c r="C236" s="1763"/>
      <c r="D236" s="1763"/>
      <c r="E236" s="1181"/>
      <c r="I236" s="1172"/>
      <c r="J236" s="1172"/>
      <c r="K236" s="1172"/>
      <c r="L236" s="1172"/>
      <c r="M236" s="1172"/>
      <c r="N236" s="1172"/>
      <c r="O236" s="1172"/>
      <c r="P236" s="1244"/>
      <c r="R236" s="1182"/>
      <c r="S236" s="1182"/>
      <c r="T236" s="1182"/>
      <c r="U236" s="1182"/>
      <c r="V236" s="1182"/>
      <c r="W236" s="1182"/>
      <c r="X236" s="1182"/>
      <c r="Y236" s="1182"/>
    </row>
    <row r="237" spans="1:25" x14ac:dyDescent="0.2">
      <c r="A237" s="1763"/>
      <c r="B237" s="1763"/>
      <c r="C237" s="1763"/>
      <c r="D237" s="1763"/>
      <c r="E237" s="1181"/>
      <c r="I237" s="1172"/>
      <c r="J237" s="1172"/>
      <c r="K237" s="1172"/>
      <c r="L237" s="1172"/>
      <c r="M237" s="1172"/>
      <c r="N237" s="1172"/>
      <c r="O237" s="1172"/>
      <c r="P237" s="1244"/>
      <c r="R237" s="1182"/>
      <c r="S237" s="1182"/>
      <c r="T237" s="1182"/>
      <c r="U237" s="1182"/>
      <c r="V237" s="1182"/>
      <c r="W237" s="1182"/>
      <c r="X237" s="1182"/>
      <c r="Y237" s="1182"/>
    </row>
    <row r="238" spans="1:25" x14ac:dyDescent="0.2">
      <c r="A238" s="1763"/>
      <c r="B238" s="1763"/>
      <c r="C238" s="1763"/>
      <c r="D238" s="1763"/>
      <c r="E238" s="1181"/>
      <c r="I238" s="1172"/>
      <c r="J238" s="1172"/>
      <c r="K238" s="1172"/>
      <c r="L238" s="1172"/>
      <c r="M238" s="1172"/>
      <c r="N238" s="1172"/>
      <c r="O238" s="1172"/>
      <c r="P238" s="1244"/>
      <c r="R238" s="1182"/>
      <c r="S238" s="1182"/>
      <c r="T238" s="1182"/>
      <c r="U238" s="1182"/>
      <c r="V238" s="1182"/>
      <c r="W238" s="1182"/>
      <c r="X238" s="1182"/>
      <c r="Y238" s="1182"/>
    </row>
    <row r="239" spans="1:25" x14ac:dyDescent="0.2">
      <c r="A239" s="1763"/>
      <c r="B239" s="1763"/>
      <c r="C239" s="1763"/>
      <c r="D239" s="1763"/>
      <c r="E239" s="1181"/>
      <c r="I239" s="1172"/>
      <c r="J239" s="1172"/>
      <c r="K239" s="1172"/>
      <c r="L239" s="1172"/>
      <c r="M239" s="1172"/>
      <c r="N239" s="1172"/>
      <c r="O239" s="1172"/>
      <c r="P239" s="1244"/>
      <c r="R239" s="1182"/>
      <c r="S239" s="1182"/>
      <c r="T239" s="1182"/>
      <c r="U239" s="1182"/>
      <c r="V239" s="1182"/>
      <c r="W239" s="1182"/>
      <c r="X239" s="1182"/>
      <c r="Y239" s="1182"/>
    </row>
    <row r="240" spans="1:25" x14ac:dyDescent="0.2">
      <c r="A240" s="1763"/>
      <c r="B240" s="1763"/>
      <c r="C240" s="1763"/>
      <c r="D240" s="1763"/>
      <c r="E240" s="1181"/>
      <c r="I240" s="1172"/>
      <c r="J240" s="1172"/>
      <c r="K240" s="1172"/>
      <c r="L240" s="1172"/>
      <c r="M240" s="1172"/>
      <c r="N240" s="1172"/>
      <c r="O240" s="1172"/>
      <c r="P240" s="1244"/>
      <c r="R240" s="1182"/>
      <c r="S240" s="1182"/>
      <c r="T240" s="1182"/>
      <c r="U240" s="1182"/>
      <c r="V240" s="1182"/>
      <c r="W240" s="1182"/>
      <c r="X240" s="1182"/>
      <c r="Y240" s="1182"/>
    </row>
    <row r="241" spans="1:25" x14ac:dyDescent="0.2">
      <c r="A241" s="1763"/>
      <c r="B241" s="1763"/>
      <c r="C241" s="1763"/>
      <c r="D241" s="1763"/>
      <c r="E241" s="1181"/>
      <c r="I241" s="1172"/>
      <c r="J241" s="1172"/>
      <c r="K241" s="1172"/>
      <c r="L241" s="1172"/>
      <c r="M241" s="1172"/>
      <c r="N241" s="1172"/>
      <c r="O241" s="1172"/>
      <c r="P241" s="1244"/>
      <c r="R241" s="1182"/>
      <c r="S241" s="1182"/>
      <c r="T241" s="1182"/>
      <c r="U241" s="1182"/>
      <c r="V241" s="1182"/>
      <c r="W241" s="1182"/>
      <c r="X241" s="1182"/>
      <c r="Y241" s="1182"/>
    </row>
    <row r="242" spans="1:25" x14ac:dyDescent="0.2">
      <c r="A242" s="1763"/>
      <c r="B242" s="1763"/>
      <c r="C242" s="1763"/>
      <c r="D242" s="1763"/>
      <c r="E242" s="1181"/>
      <c r="I242" s="1172"/>
      <c r="J242" s="1172"/>
      <c r="K242" s="1172"/>
      <c r="L242" s="1172"/>
      <c r="M242" s="1172"/>
      <c r="N242" s="1172"/>
      <c r="O242" s="1172"/>
      <c r="P242" s="1244"/>
      <c r="R242" s="1182"/>
      <c r="S242" s="1182"/>
      <c r="T242" s="1182"/>
      <c r="U242" s="1182"/>
      <c r="V242" s="1182"/>
      <c r="W242" s="1182"/>
      <c r="X242" s="1182"/>
      <c r="Y242" s="1182"/>
    </row>
    <row r="243" spans="1:25" x14ac:dyDescent="0.2">
      <c r="A243" s="1763"/>
      <c r="B243" s="1763"/>
      <c r="C243" s="1763"/>
      <c r="D243" s="1763"/>
      <c r="E243" s="1181"/>
      <c r="I243" s="1172"/>
      <c r="J243" s="1172"/>
      <c r="K243" s="1172"/>
      <c r="L243" s="1172"/>
      <c r="M243" s="1172"/>
      <c r="N243" s="1172"/>
      <c r="O243" s="1172"/>
      <c r="P243" s="1244"/>
      <c r="R243" s="1182"/>
      <c r="S243" s="1182"/>
      <c r="T243" s="1182"/>
      <c r="U243" s="1182"/>
      <c r="V243" s="1182"/>
      <c r="W243" s="1182"/>
      <c r="X243" s="1182"/>
      <c r="Y243" s="1182"/>
    </row>
    <row r="244" spans="1:25" x14ac:dyDescent="0.2">
      <c r="A244" s="1763"/>
      <c r="B244" s="1763"/>
      <c r="C244" s="1763"/>
      <c r="D244" s="1763"/>
      <c r="E244" s="1181"/>
      <c r="I244" s="1172"/>
      <c r="J244" s="1172"/>
      <c r="K244" s="1172"/>
      <c r="L244" s="1172"/>
      <c r="M244" s="1172"/>
      <c r="N244" s="1172"/>
      <c r="O244" s="1172"/>
      <c r="P244" s="1244"/>
      <c r="R244" s="1182"/>
      <c r="S244" s="1182"/>
      <c r="T244" s="1182"/>
      <c r="U244" s="1182"/>
      <c r="V244" s="1182"/>
      <c r="W244" s="1182"/>
      <c r="X244" s="1182"/>
      <c r="Y244" s="1182"/>
    </row>
    <row r="245" spans="1:25" x14ac:dyDescent="0.2">
      <c r="A245" s="1763"/>
      <c r="B245" s="1763"/>
      <c r="C245" s="1763"/>
      <c r="D245" s="1763"/>
      <c r="E245" s="1181"/>
      <c r="I245" s="1172"/>
      <c r="J245" s="1172"/>
      <c r="K245" s="1172"/>
      <c r="L245" s="1172"/>
      <c r="M245" s="1172"/>
      <c r="N245" s="1172"/>
      <c r="O245" s="1172"/>
      <c r="P245" s="1244"/>
      <c r="R245" s="1182"/>
      <c r="S245" s="1182"/>
      <c r="T245" s="1182"/>
      <c r="U245" s="1182"/>
      <c r="V245" s="1182"/>
      <c r="W245" s="1182"/>
      <c r="X245" s="1182"/>
      <c r="Y245" s="1182"/>
    </row>
    <row r="246" spans="1:25" x14ac:dyDescent="0.2">
      <c r="A246" s="1763"/>
      <c r="B246" s="1763"/>
      <c r="C246" s="1763"/>
      <c r="D246" s="1763"/>
      <c r="E246" s="1181"/>
      <c r="I246" s="1172"/>
      <c r="J246" s="1172"/>
      <c r="K246" s="1172"/>
      <c r="L246" s="1172"/>
      <c r="M246" s="1172"/>
      <c r="N246" s="1172"/>
      <c r="O246" s="1172"/>
      <c r="P246" s="1244"/>
      <c r="R246" s="1182"/>
      <c r="S246" s="1182"/>
      <c r="T246" s="1182"/>
      <c r="U246" s="1182"/>
      <c r="V246" s="1182"/>
      <c r="W246" s="1182"/>
      <c r="X246" s="1182"/>
      <c r="Y246" s="1182"/>
    </row>
    <row r="247" spans="1:25" x14ac:dyDescent="0.2">
      <c r="A247" s="1763"/>
      <c r="B247" s="1763"/>
      <c r="C247" s="1763"/>
      <c r="D247" s="1763"/>
      <c r="E247" s="1181"/>
      <c r="I247" s="1172"/>
      <c r="J247" s="1172"/>
      <c r="K247" s="1172"/>
      <c r="L247" s="1172"/>
      <c r="M247" s="1172"/>
      <c r="N247" s="1172"/>
      <c r="O247" s="1172"/>
      <c r="P247" s="1244"/>
      <c r="R247" s="1182"/>
      <c r="S247" s="1182"/>
      <c r="T247" s="1182"/>
      <c r="U247" s="1182"/>
      <c r="V247" s="1182"/>
      <c r="W247" s="1182"/>
      <c r="X247" s="1182"/>
      <c r="Y247" s="1182"/>
    </row>
    <row r="248" spans="1:25" x14ac:dyDescent="0.2">
      <c r="A248" s="1763"/>
      <c r="B248" s="1763"/>
      <c r="C248" s="1763"/>
      <c r="D248" s="1763"/>
      <c r="E248" s="1181"/>
      <c r="I248" s="1172"/>
      <c r="J248" s="1172"/>
      <c r="K248" s="1172"/>
      <c r="L248" s="1172"/>
      <c r="M248" s="1172"/>
      <c r="N248" s="1172"/>
      <c r="O248" s="1172"/>
      <c r="P248" s="1244"/>
      <c r="R248" s="1182"/>
      <c r="S248" s="1182"/>
      <c r="T248" s="1182"/>
      <c r="U248" s="1182"/>
      <c r="V248" s="1182"/>
      <c r="W248" s="1182"/>
      <c r="X248" s="1182"/>
      <c r="Y248" s="1182"/>
    </row>
    <row r="249" spans="1:25" x14ac:dyDescent="0.2">
      <c r="A249" s="1763"/>
      <c r="B249" s="1763"/>
      <c r="C249" s="1763"/>
      <c r="D249" s="1763"/>
      <c r="E249" s="1181"/>
      <c r="I249" s="1172"/>
      <c r="J249" s="1172"/>
      <c r="K249" s="1172"/>
      <c r="L249" s="1172"/>
      <c r="M249" s="1172"/>
      <c r="N249" s="1172"/>
      <c r="O249" s="1172"/>
      <c r="P249" s="1244"/>
      <c r="R249" s="1182"/>
      <c r="S249" s="1182"/>
      <c r="T249" s="1182"/>
      <c r="U249" s="1182"/>
      <c r="V249" s="1182"/>
      <c r="W249" s="1182"/>
      <c r="X249" s="1182"/>
      <c r="Y249" s="1182"/>
    </row>
    <row r="250" spans="1:25" x14ac:dyDescent="0.2">
      <c r="A250" s="1763"/>
      <c r="B250" s="1763"/>
      <c r="C250" s="1763"/>
      <c r="D250" s="1763"/>
      <c r="E250" s="1181"/>
      <c r="I250" s="1172"/>
      <c r="J250" s="1172"/>
      <c r="K250" s="1172"/>
      <c r="L250" s="1172"/>
      <c r="M250" s="1172"/>
      <c r="N250" s="1172"/>
      <c r="O250" s="1172"/>
      <c r="P250" s="1244"/>
      <c r="R250" s="1182"/>
      <c r="S250" s="1182"/>
      <c r="T250" s="1182"/>
      <c r="U250" s="1182"/>
      <c r="V250" s="1182"/>
      <c r="W250" s="1182"/>
      <c r="X250" s="1182"/>
      <c r="Y250" s="1182"/>
    </row>
    <row r="251" spans="1:25" x14ac:dyDescent="0.2">
      <c r="A251" s="1763"/>
      <c r="B251" s="1763"/>
      <c r="C251" s="1763"/>
      <c r="D251" s="1763"/>
      <c r="E251" s="1181"/>
      <c r="I251" s="1172"/>
      <c r="J251" s="1172"/>
      <c r="K251" s="1172"/>
      <c r="L251" s="1172"/>
      <c r="M251" s="1172"/>
      <c r="N251" s="1172"/>
      <c r="O251" s="1172"/>
      <c r="P251" s="1244"/>
      <c r="R251" s="1182"/>
      <c r="S251" s="1182"/>
      <c r="T251" s="1182"/>
      <c r="U251" s="1182"/>
      <c r="V251" s="1182"/>
      <c r="W251" s="1182"/>
      <c r="X251" s="1182"/>
      <c r="Y251" s="1182"/>
    </row>
    <row r="252" spans="1:25" x14ac:dyDescent="0.2">
      <c r="A252" s="1763"/>
      <c r="B252" s="1763"/>
      <c r="C252" s="1763"/>
      <c r="D252" s="1763"/>
      <c r="E252" s="1181"/>
      <c r="I252" s="1172"/>
      <c r="J252" s="1172"/>
      <c r="K252" s="1172"/>
      <c r="L252" s="1172"/>
      <c r="M252" s="1172"/>
      <c r="N252" s="1172"/>
      <c r="O252" s="1172"/>
      <c r="P252" s="1244"/>
      <c r="R252" s="1182"/>
      <c r="S252" s="1182"/>
      <c r="T252" s="1182"/>
      <c r="U252" s="1182"/>
      <c r="V252" s="1182"/>
      <c r="W252" s="1182"/>
      <c r="X252" s="1182"/>
      <c r="Y252" s="1182"/>
    </row>
    <row r="253" spans="1:25" x14ac:dyDescent="0.2">
      <c r="A253" s="1763"/>
      <c r="B253" s="1763"/>
      <c r="C253" s="1763"/>
      <c r="D253" s="1763"/>
      <c r="E253" s="1181"/>
      <c r="I253" s="1172"/>
      <c r="J253" s="1172"/>
      <c r="K253" s="1172"/>
      <c r="L253" s="1172"/>
      <c r="M253" s="1172"/>
      <c r="N253" s="1172"/>
      <c r="O253" s="1172"/>
      <c r="P253" s="1244"/>
      <c r="R253" s="1182"/>
      <c r="S253" s="1182"/>
      <c r="T253" s="1182"/>
      <c r="U253" s="1182"/>
      <c r="V253" s="1182"/>
      <c r="W253" s="1182"/>
      <c r="X253" s="1182"/>
      <c r="Y253" s="1182"/>
    </row>
    <row r="254" spans="1:25" x14ac:dyDescent="0.2">
      <c r="A254" s="1763"/>
      <c r="B254" s="1763"/>
      <c r="C254" s="1763"/>
      <c r="D254" s="1763"/>
      <c r="E254" s="1181"/>
      <c r="I254" s="1172"/>
      <c r="J254" s="1172"/>
      <c r="K254" s="1172"/>
      <c r="L254" s="1172"/>
      <c r="M254" s="1172"/>
      <c r="N254" s="1172"/>
      <c r="O254" s="1172"/>
      <c r="P254" s="1244"/>
      <c r="R254" s="1182"/>
      <c r="S254" s="1182"/>
      <c r="T254" s="1182"/>
      <c r="U254" s="1182"/>
      <c r="V254" s="1182"/>
      <c r="W254" s="1182"/>
      <c r="X254" s="1182"/>
      <c r="Y254" s="1182"/>
    </row>
    <row r="255" spans="1:25" x14ac:dyDescent="0.2">
      <c r="A255" s="1763"/>
      <c r="B255" s="1763"/>
      <c r="C255" s="1763"/>
      <c r="D255" s="1763"/>
      <c r="E255" s="1181"/>
      <c r="I255" s="1172"/>
      <c r="J255" s="1172"/>
      <c r="K255" s="1172"/>
      <c r="L255" s="1172"/>
      <c r="M255" s="1172"/>
      <c r="N255" s="1172"/>
      <c r="O255" s="1172"/>
      <c r="P255" s="1244"/>
      <c r="R255" s="1182"/>
      <c r="S255" s="1182"/>
      <c r="T255" s="1182"/>
      <c r="U255" s="1182"/>
      <c r="V255" s="1182"/>
      <c r="W255" s="1182"/>
      <c r="X255" s="1182"/>
      <c r="Y255" s="1182"/>
    </row>
    <row r="256" spans="1:25" x14ac:dyDescent="0.2">
      <c r="A256" s="1763"/>
      <c r="B256" s="1763"/>
      <c r="C256" s="1763"/>
      <c r="D256" s="1763"/>
      <c r="E256" s="1181"/>
      <c r="I256" s="1172"/>
      <c r="J256" s="1172"/>
      <c r="K256" s="1172"/>
      <c r="L256" s="1172"/>
      <c r="M256" s="1172"/>
      <c r="N256" s="1172"/>
      <c r="O256" s="1172"/>
      <c r="P256" s="1244"/>
      <c r="R256" s="1182"/>
      <c r="S256" s="1182"/>
      <c r="T256" s="1182"/>
      <c r="U256" s="1182"/>
      <c r="V256" s="1182"/>
      <c r="W256" s="1182"/>
      <c r="X256" s="1182"/>
      <c r="Y256" s="1182"/>
    </row>
    <row r="257" spans="1:25" x14ac:dyDescent="0.2">
      <c r="A257" s="1763"/>
      <c r="B257" s="1763"/>
      <c r="C257" s="1763"/>
      <c r="D257" s="1763"/>
      <c r="E257" s="1181"/>
      <c r="I257" s="1172"/>
      <c r="J257" s="1172"/>
      <c r="K257" s="1172"/>
      <c r="L257" s="1172"/>
      <c r="M257" s="1172"/>
      <c r="N257" s="1172"/>
      <c r="O257" s="1172"/>
      <c r="P257" s="1244"/>
      <c r="R257" s="1182"/>
      <c r="S257" s="1182"/>
      <c r="T257" s="1182"/>
      <c r="U257" s="1182"/>
      <c r="V257" s="1182"/>
      <c r="W257" s="1182"/>
      <c r="X257" s="1182"/>
      <c r="Y257" s="1182"/>
    </row>
    <row r="258" spans="1:25" x14ac:dyDescent="0.2">
      <c r="A258" s="1763"/>
      <c r="B258" s="1763"/>
      <c r="C258" s="1763"/>
      <c r="D258" s="1763"/>
      <c r="E258" s="1181"/>
      <c r="I258" s="1172"/>
      <c r="J258" s="1172"/>
      <c r="K258" s="1172"/>
      <c r="L258" s="1172"/>
      <c r="M258" s="1172"/>
      <c r="N258" s="1172"/>
      <c r="O258" s="1172"/>
      <c r="P258" s="1244"/>
      <c r="R258" s="1182"/>
      <c r="S258" s="1182"/>
      <c r="T258" s="1182"/>
      <c r="U258" s="1182"/>
      <c r="V258" s="1182"/>
      <c r="W258" s="1182"/>
      <c r="X258" s="1182"/>
      <c r="Y258" s="1182"/>
    </row>
    <row r="259" spans="1:25" x14ac:dyDescent="0.2">
      <c r="A259" s="1763"/>
      <c r="B259" s="1763"/>
      <c r="C259" s="1763"/>
      <c r="D259" s="1763"/>
      <c r="E259" s="1181"/>
      <c r="I259" s="1172"/>
      <c r="J259" s="1172"/>
      <c r="K259" s="1172"/>
      <c r="L259" s="1172"/>
      <c r="M259" s="1172"/>
      <c r="N259" s="1172"/>
      <c r="O259" s="1172"/>
      <c r="P259" s="1244"/>
      <c r="R259" s="1182"/>
      <c r="S259" s="1182"/>
      <c r="T259" s="1182"/>
      <c r="U259" s="1182"/>
      <c r="V259" s="1182"/>
      <c r="W259" s="1182"/>
      <c r="X259" s="1182"/>
      <c r="Y259" s="1182"/>
    </row>
    <row r="260" spans="1:25" x14ac:dyDescent="0.2">
      <c r="A260" s="1763"/>
      <c r="B260" s="1763"/>
      <c r="C260" s="1763"/>
      <c r="D260" s="1763"/>
      <c r="E260" s="1181"/>
      <c r="I260" s="1172"/>
      <c r="J260" s="1172"/>
      <c r="K260" s="1172"/>
      <c r="L260" s="1172"/>
      <c r="M260" s="1172"/>
      <c r="N260" s="1172"/>
      <c r="O260" s="1172"/>
      <c r="P260" s="1244"/>
      <c r="R260" s="1182"/>
      <c r="S260" s="1182"/>
      <c r="T260" s="1182"/>
      <c r="U260" s="1182"/>
      <c r="V260" s="1182"/>
      <c r="W260" s="1182"/>
      <c r="X260" s="1182"/>
      <c r="Y260" s="1182"/>
    </row>
    <row r="261" spans="1:25" x14ac:dyDescent="0.2">
      <c r="A261" s="1763"/>
      <c r="B261" s="1763"/>
      <c r="C261" s="1763"/>
      <c r="D261" s="1763"/>
      <c r="E261" s="1181"/>
      <c r="I261" s="1172"/>
      <c r="J261" s="1172"/>
      <c r="K261" s="1172"/>
      <c r="L261" s="1172"/>
      <c r="M261" s="1172"/>
      <c r="N261" s="1172"/>
      <c r="O261" s="1172"/>
      <c r="P261" s="1244"/>
      <c r="R261" s="1182"/>
      <c r="S261" s="1182"/>
      <c r="T261" s="1182"/>
      <c r="U261" s="1182"/>
      <c r="V261" s="1182"/>
      <c r="W261" s="1182"/>
      <c r="X261" s="1182"/>
      <c r="Y261" s="1182"/>
    </row>
    <row r="262" spans="1:25" x14ac:dyDescent="0.2">
      <c r="A262" s="1763"/>
      <c r="B262" s="1763"/>
      <c r="C262" s="1763"/>
      <c r="D262" s="1763"/>
      <c r="E262" s="1181"/>
      <c r="I262" s="1172"/>
      <c r="J262" s="1172"/>
      <c r="K262" s="1172"/>
      <c r="L262" s="1172"/>
      <c r="M262" s="1172"/>
      <c r="N262" s="1172"/>
      <c r="O262" s="1172"/>
      <c r="P262" s="1244"/>
      <c r="R262" s="1182"/>
      <c r="S262" s="1182"/>
      <c r="T262" s="1182"/>
      <c r="U262" s="1182"/>
      <c r="V262" s="1182"/>
      <c r="W262" s="1182"/>
      <c r="X262" s="1182"/>
      <c r="Y262" s="1182"/>
    </row>
    <row r="263" spans="1:25" x14ac:dyDescent="0.2">
      <c r="A263" s="1763"/>
      <c r="B263" s="1763"/>
      <c r="C263" s="1763"/>
      <c r="D263" s="1763"/>
      <c r="E263" s="1181"/>
      <c r="I263" s="1172"/>
      <c r="J263" s="1172"/>
      <c r="K263" s="1172"/>
      <c r="L263" s="1172"/>
      <c r="M263" s="1172"/>
      <c r="N263" s="1172"/>
      <c r="O263" s="1172"/>
      <c r="P263" s="1244"/>
      <c r="R263" s="1182"/>
      <c r="S263" s="1182"/>
      <c r="T263" s="1182"/>
      <c r="U263" s="1182"/>
      <c r="V263" s="1182"/>
      <c r="W263" s="1182"/>
      <c r="X263" s="1182"/>
      <c r="Y263" s="1182"/>
    </row>
    <row r="264" spans="1:25" x14ac:dyDescent="0.2">
      <c r="A264" s="1763"/>
      <c r="B264" s="1763"/>
      <c r="C264" s="1763"/>
      <c r="D264" s="1763"/>
      <c r="E264" s="1181"/>
      <c r="I264" s="1172"/>
      <c r="J264" s="1172"/>
      <c r="K264" s="1172"/>
      <c r="L264" s="1172"/>
      <c r="M264" s="1172"/>
      <c r="N264" s="1172"/>
      <c r="O264" s="1172"/>
      <c r="P264" s="1244"/>
      <c r="R264" s="1182"/>
      <c r="S264" s="1182"/>
      <c r="T264" s="1182"/>
      <c r="U264" s="1182"/>
      <c r="V264" s="1182"/>
      <c r="W264" s="1182"/>
      <c r="X264" s="1182"/>
      <c r="Y264" s="1182"/>
    </row>
    <row r="265" spans="1:25" x14ac:dyDescent="0.2">
      <c r="A265" s="1763"/>
      <c r="B265" s="1763"/>
      <c r="C265" s="1763"/>
      <c r="D265" s="1763"/>
      <c r="E265" s="1181"/>
      <c r="I265" s="1172"/>
      <c r="J265" s="1172"/>
      <c r="K265" s="1172"/>
      <c r="L265" s="1172"/>
      <c r="M265" s="1172"/>
      <c r="N265" s="1172"/>
      <c r="O265" s="1172"/>
      <c r="P265" s="1244"/>
      <c r="R265" s="1182"/>
      <c r="S265" s="1182"/>
      <c r="T265" s="1182"/>
      <c r="U265" s="1182"/>
      <c r="V265" s="1182"/>
      <c r="W265" s="1182"/>
      <c r="X265" s="1182"/>
      <c r="Y265" s="1182"/>
    </row>
    <row r="266" spans="1:25" x14ac:dyDescent="0.2">
      <c r="A266" s="1763"/>
      <c r="B266" s="1763"/>
      <c r="C266" s="1763"/>
      <c r="D266" s="1763"/>
      <c r="E266" s="1181"/>
      <c r="I266" s="1172"/>
      <c r="J266" s="1172"/>
      <c r="K266" s="1172"/>
      <c r="L266" s="1172"/>
      <c r="M266" s="1172"/>
      <c r="N266" s="1172"/>
      <c r="O266" s="1172"/>
      <c r="P266" s="1244"/>
      <c r="R266" s="1182"/>
      <c r="S266" s="1182"/>
      <c r="T266" s="1182"/>
      <c r="U266" s="1182"/>
      <c r="V266" s="1182"/>
      <c r="W266" s="1182"/>
      <c r="X266" s="1182"/>
      <c r="Y266" s="1182"/>
    </row>
    <row r="267" spans="1:25" x14ac:dyDescent="0.2">
      <c r="A267" s="1763"/>
      <c r="B267" s="1763"/>
      <c r="C267" s="1763"/>
      <c r="D267" s="1763"/>
      <c r="E267" s="1181"/>
      <c r="I267" s="1172"/>
      <c r="J267" s="1172"/>
      <c r="K267" s="1172"/>
      <c r="L267" s="1172"/>
      <c r="M267" s="1172"/>
      <c r="N267" s="1172"/>
      <c r="O267" s="1172"/>
      <c r="P267" s="1244"/>
      <c r="R267" s="1182"/>
      <c r="S267" s="1182"/>
      <c r="T267" s="1182"/>
      <c r="U267" s="1182"/>
      <c r="V267" s="1182"/>
      <c r="W267" s="1182"/>
      <c r="X267" s="1182"/>
      <c r="Y267" s="1182"/>
    </row>
    <row r="268" spans="1:25" x14ac:dyDescent="0.2">
      <c r="A268" s="1763"/>
      <c r="B268" s="1763"/>
      <c r="C268" s="1763"/>
      <c r="D268" s="1763"/>
      <c r="E268" s="1181"/>
      <c r="I268" s="1172"/>
      <c r="J268" s="1172"/>
      <c r="K268" s="1172"/>
      <c r="L268" s="1172"/>
      <c r="M268" s="1172"/>
      <c r="N268" s="1172"/>
      <c r="O268" s="1172"/>
      <c r="P268" s="1244"/>
      <c r="R268" s="1182"/>
      <c r="S268" s="1182"/>
      <c r="T268" s="1182"/>
      <c r="U268" s="1182"/>
      <c r="V268" s="1182"/>
      <c r="W268" s="1182"/>
      <c r="X268" s="1182"/>
      <c r="Y268" s="1182"/>
    </row>
    <row r="269" spans="1:25" x14ac:dyDescent="0.2">
      <c r="A269" s="1763"/>
      <c r="B269" s="1763"/>
      <c r="C269" s="1763"/>
      <c r="D269" s="1763"/>
      <c r="E269" s="1181"/>
      <c r="I269" s="1172"/>
      <c r="J269" s="1172"/>
      <c r="K269" s="1172"/>
      <c r="L269" s="1172"/>
      <c r="M269" s="1172"/>
      <c r="N269" s="1172"/>
      <c r="O269" s="1172"/>
      <c r="P269" s="1244"/>
      <c r="R269" s="1182"/>
      <c r="S269" s="1182"/>
      <c r="T269" s="1182"/>
      <c r="U269" s="1182"/>
      <c r="V269" s="1182"/>
      <c r="W269" s="1182"/>
      <c r="X269" s="1182"/>
      <c r="Y269" s="1182"/>
    </row>
    <row r="270" spans="1:25" x14ac:dyDescent="0.2">
      <c r="A270" s="1763"/>
      <c r="B270" s="1763"/>
      <c r="C270" s="1763"/>
      <c r="D270" s="1763"/>
      <c r="E270" s="1181"/>
      <c r="I270" s="1172"/>
      <c r="J270" s="1172"/>
      <c r="K270" s="1172"/>
      <c r="L270" s="1172"/>
      <c r="M270" s="1172"/>
      <c r="N270" s="1172"/>
      <c r="O270" s="1172"/>
      <c r="P270" s="1244"/>
      <c r="R270" s="1182"/>
      <c r="S270" s="1182"/>
      <c r="T270" s="1182"/>
      <c r="U270" s="1182"/>
      <c r="V270" s="1182"/>
      <c r="W270" s="1182"/>
      <c r="X270" s="1182"/>
      <c r="Y270" s="1182"/>
    </row>
    <row r="271" spans="1:25" x14ac:dyDescent="0.2">
      <c r="A271" s="1763"/>
      <c r="B271" s="1763"/>
      <c r="C271" s="1763"/>
      <c r="D271" s="1763"/>
      <c r="E271" s="1181"/>
      <c r="I271" s="1172"/>
      <c r="J271" s="1172"/>
      <c r="K271" s="1172"/>
      <c r="L271" s="1172"/>
      <c r="M271" s="1172"/>
      <c r="N271" s="1172"/>
      <c r="O271" s="1172"/>
      <c r="P271" s="1244"/>
      <c r="R271" s="1182"/>
      <c r="S271" s="1182"/>
      <c r="T271" s="1182"/>
      <c r="U271" s="1182"/>
      <c r="V271" s="1182"/>
      <c r="W271" s="1182"/>
      <c r="X271" s="1182"/>
      <c r="Y271" s="1182"/>
    </row>
    <row r="272" spans="1:25" x14ac:dyDescent="0.2">
      <c r="A272" s="1763"/>
      <c r="B272" s="1763"/>
      <c r="C272" s="1763"/>
      <c r="D272" s="1763"/>
      <c r="E272" s="1181"/>
      <c r="I272" s="1172"/>
      <c r="J272" s="1172"/>
      <c r="K272" s="1172"/>
      <c r="L272" s="1172"/>
      <c r="M272" s="1172"/>
      <c r="N272" s="1172"/>
      <c r="O272" s="1172"/>
      <c r="P272" s="1244"/>
      <c r="R272" s="1182"/>
      <c r="S272" s="1182"/>
      <c r="T272" s="1182"/>
      <c r="U272" s="1182"/>
      <c r="V272" s="1182"/>
      <c r="W272" s="1182"/>
      <c r="X272" s="1182"/>
      <c r="Y272" s="1182"/>
    </row>
    <row r="273" spans="1:25" x14ac:dyDescent="0.2">
      <c r="A273" s="1763"/>
      <c r="B273" s="1763"/>
      <c r="C273" s="1763"/>
      <c r="D273" s="1763"/>
      <c r="E273" s="1181"/>
      <c r="I273" s="1172"/>
      <c r="J273" s="1172"/>
      <c r="K273" s="1172"/>
      <c r="L273" s="1172"/>
      <c r="M273" s="1172"/>
      <c r="N273" s="1172"/>
      <c r="O273" s="1172"/>
      <c r="P273" s="1244"/>
      <c r="R273" s="1182"/>
      <c r="S273" s="1182"/>
      <c r="T273" s="1182"/>
      <c r="U273" s="1182"/>
      <c r="V273" s="1182"/>
      <c r="W273" s="1182"/>
      <c r="X273" s="1182"/>
      <c r="Y273" s="1182"/>
    </row>
    <row r="274" spans="1:25" x14ac:dyDescent="0.2">
      <c r="A274" s="1763"/>
      <c r="B274" s="1763"/>
      <c r="C274" s="1763"/>
      <c r="D274" s="1763"/>
      <c r="E274" s="1181"/>
      <c r="I274" s="1172"/>
      <c r="J274" s="1172"/>
      <c r="K274" s="1172"/>
      <c r="L274" s="1172"/>
      <c r="M274" s="1172"/>
      <c r="N274" s="1172"/>
      <c r="O274" s="1172"/>
      <c r="P274" s="1244"/>
      <c r="R274" s="1182"/>
      <c r="S274" s="1182"/>
      <c r="T274" s="1182"/>
      <c r="U274" s="1182"/>
      <c r="V274" s="1182"/>
      <c r="W274" s="1182"/>
      <c r="X274" s="1182"/>
      <c r="Y274" s="1182"/>
    </row>
    <row r="275" spans="1:25" x14ac:dyDescent="0.2">
      <c r="A275" s="1763"/>
      <c r="B275" s="1763"/>
      <c r="C275" s="1763"/>
      <c r="D275" s="1763"/>
      <c r="E275" s="1181"/>
      <c r="I275" s="1172"/>
      <c r="J275" s="1172"/>
      <c r="K275" s="1172"/>
      <c r="L275" s="1172"/>
      <c r="M275" s="1172"/>
      <c r="N275" s="1172"/>
      <c r="O275" s="1172"/>
      <c r="P275" s="1244"/>
      <c r="R275" s="1182"/>
      <c r="S275" s="1182"/>
      <c r="T275" s="1182"/>
      <c r="U275" s="1182"/>
      <c r="V275" s="1182"/>
      <c r="W275" s="1182"/>
      <c r="X275" s="1182"/>
      <c r="Y275" s="1182"/>
    </row>
    <row r="276" spans="1:25" x14ac:dyDescent="0.2">
      <c r="A276" s="1763"/>
      <c r="B276" s="1763"/>
      <c r="C276" s="1763"/>
      <c r="D276" s="1763"/>
      <c r="E276" s="1181"/>
      <c r="I276" s="1172"/>
      <c r="J276" s="1172"/>
      <c r="K276" s="1172"/>
      <c r="L276" s="1172"/>
      <c r="M276" s="1172"/>
      <c r="N276" s="1172"/>
      <c r="O276" s="1172"/>
      <c r="P276" s="1244"/>
      <c r="R276" s="1182"/>
      <c r="S276" s="1182"/>
      <c r="T276" s="1182"/>
      <c r="U276" s="1182"/>
      <c r="V276" s="1182"/>
      <c r="W276" s="1182"/>
      <c r="X276" s="1182"/>
      <c r="Y276" s="1182"/>
    </row>
    <row r="277" spans="1:25" x14ac:dyDescent="0.2">
      <c r="A277" s="1763"/>
      <c r="B277" s="1763"/>
      <c r="C277" s="1763"/>
      <c r="D277" s="1763"/>
      <c r="E277" s="1181"/>
      <c r="I277" s="1172"/>
      <c r="J277" s="1172"/>
      <c r="K277" s="1172"/>
      <c r="L277" s="1172"/>
      <c r="M277" s="1172"/>
      <c r="N277" s="1172"/>
      <c r="O277" s="1172"/>
      <c r="P277" s="1244"/>
      <c r="R277" s="1182"/>
      <c r="S277" s="1182"/>
      <c r="T277" s="1182"/>
      <c r="U277" s="1182"/>
      <c r="V277" s="1182"/>
      <c r="W277" s="1182"/>
      <c r="X277" s="1182"/>
      <c r="Y277" s="1182"/>
    </row>
    <row r="278" spans="1:25" x14ac:dyDescent="0.2">
      <c r="A278" s="1763"/>
      <c r="B278" s="1763"/>
      <c r="C278" s="1763"/>
      <c r="D278" s="1763"/>
      <c r="E278" s="1181"/>
      <c r="I278" s="1172"/>
      <c r="J278" s="1172"/>
      <c r="K278" s="1172"/>
      <c r="L278" s="1172"/>
      <c r="M278" s="1172"/>
      <c r="N278" s="1172"/>
      <c r="O278" s="1172"/>
      <c r="P278" s="1244"/>
      <c r="R278" s="1182"/>
      <c r="S278" s="1182"/>
      <c r="T278" s="1182"/>
      <c r="U278" s="1182"/>
      <c r="V278" s="1182"/>
      <c r="W278" s="1182"/>
      <c r="X278" s="1182"/>
      <c r="Y278" s="1182"/>
    </row>
    <row r="279" spans="1:25" x14ac:dyDescent="0.2">
      <c r="A279" s="1763"/>
      <c r="B279" s="1763"/>
      <c r="C279" s="1763"/>
      <c r="D279" s="1763"/>
      <c r="E279" s="1181"/>
      <c r="I279" s="1172"/>
      <c r="J279" s="1172"/>
      <c r="K279" s="1172"/>
      <c r="L279" s="1172"/>
      <c r="M279" s="1172"/>
      <c r="N279" s="1172"/>
      <c r="O279" s="1172"/>
      <c r="P279" s="1244"/>
      <c r="R279" s="1182"/>
      <c r="S279" s="1182"/>
      <c r="T279" s="1182"/>
      <c r="U279" s="1182"/>
      <c r="V279" s="1182"/>
      <c r="W279" s="1182"/>
      <c r="X279" s="1182"/>
      <c r="Y279" s="1182"/>
    </row>
    <row r="280" spans="1:25" x14ac:dyDescent="0.2">
      <c r="A280" s="1763"/>
      <c r="B280" s="1763"/>
      <c r="C280" s="1763"/>
      <c r="D280" s="1763"/>
      <c r="E280" s="1181"/>
      <c r="I280" s="1172"/>
      <c r="J280" s="1172"/>
      <c r="K280" s="1172"/>
      <c r="L280" s="1172"/>
      <c r="M280" s="1172"/>
      <c r="N280" s="1172"/>
      <c r="O280" s="1172"/>
      <c r="P280" s="1244"/>
      <c r="R280" s="1182"/>
      <c r="S280" s="1182"/>
      <c r="T280" s="1182"/>
      <c r="U280" s="1182"/>
      <c r="V280" s="1182"/>
      <c r="W280" s="1182"/>
      <c r="X280" s="1182"/>
      <c r="Y280" s="1182"/>
    </row>
    <row r="281" spans="1:25" x14ac:dyDescent="0.2">
      <c r="A281" s="1763"/>
      <c r="B281" s="1763"/>
      <c r="C281" s="1763"/>
      <c r="D281" s="1763"/>
      <c r="E281" s="1181"/>
      <c r="I281" s="1172"/>
      <c r="J281" s="1172"/>
      <c r="K281" s="1172"/>
      <c r="L281" s="1172"/>
      <c r="M281" s="1172"/>
      <c r="N281" s="1172"/>
      <c r="O281" s="1172"/>
      <c r="P281" s="1244"/>
      <c r="R281" s="1182"/>
      <c r="S281" s="1182"/>
      <c r="T281" s="1182"/>
      <c r="U281" s="1182"/>
      <c r="V281" s="1182"/>
      <c r="W281" s="1182"/>
      <c r="X281" s="1182"/>
      <c r="Y281" s="1182"/>
    </row>
    <row r="282" spans="1:25" x14ac:dyDescent="0.2">
      <c r="A282" s="1763"/>
      <c r="B282" s="1763"/>
      <c r="C282" s="1763"/>
      <c r="D282" s="1763"/>
      <c r="E282" s="1181"/>
      <c r="I282" s="1172"/>
      <c r="J282" s="1172"/>
      <c r="K282" s="1172"/>
      <c r="L282" s="1172"/>
      <c r="M282" s="1172"/>
      <c r="N282" s="1172"/>
      <c r="O282" s="1172"/>
      <c r="P282" s="1244"/>
      <c r="R282" s="1182"/>
      <c r="S282" s="1182"/>
      <c r="T282" s="1182"/>
      <c r="U282" s="1182"/>
      <c r="V282" s="1182"/>
      <c r="W282" s="1182"/>
      <c r="X282" s="1182"/>
      <c r="Y282" s="1182"/>
    </row>
    <row r="283" spans="1:25" x14ac:dyDescent="0.2">
      <c r="A283" s="1763"/>
      <c r="B283" s="1763"/>
      <c r="C283" s="1763"/>
      <c r="D283" s="1763"/>
      <c r="E283" s="1181"/>
      <c r="I283" s="1172"/>
      <c r="J283" s="1172"/>
      <c r="K283" s="1172"/>
      <c r="L283" s="1172"/>
      <c r="M283" s="1172"/>
      <c r="N283" s="1172"/>
      <c r="O283" s="1172"/>
      <c r="P283" s="1244"/>
      <c r="R283" s="1182"/>
      <c r="S283" s="1182"/>
      <c r="T283" s="1182"/>
      <c r="U283" s="1182"/>
      <c r="V283" s="1182"/>
      <c r="W283" s="1182"/>
      <c r="X283" s="1182"/>
      <c r="Y283" s="1182"/>
    </row>
    <row r="284" spans="1:25" x14ac:dyDescent="0.2">
      <c r="A284" s="1763"/>
      <c r="B284" s="1763"/>
      <c r="C284" s="1763"/>
      <c r="D284" s="1763"/>
      <c r="E284" s="1181"/>
      <c r="I284" s="1172"/>
      <c r="J284" s="1172"/>
      <c r="K284" s="1172"/>
      <c r="L284" s="1172"/>
      <c r="M284" s="1172"/>
      <c r="N284" s="1172"/>
      <c r="O284" s="1172"/>
      <c r="P284" s="1244"/>
      <c r="R284" s="1182"/>
      <c r="S284" s="1182"/>
      <c r="T284" s="1182"/>
      <c r="U284" s="1182"/>
      <c r="V284" s="1182"/>
      <c r="W284" s="1182"/>
      <c r="X284" s="1182"/>
      <c r="Y284" s="1182"/>
    </row>
    <row r="285" spans="1:25" x14ac:dyDescent="0.2">
      <c r="A285" s="1763"/>
      <c r="B285" s="1763"/>
      <c r="C285" s="1763"/>
      <c r="D285" s="1763"/>
      <c r="E285" s="1181"/>
      <c r="I285" s="1172"/>
      <c r="J285" s="1172"/>
      <c r="K285" s="1172"/>
      <c r="L285" s="1172"/>
      <c r="M285" s="1172"/>
      <c r="N285" s="1172"/>
      <c r="O285" s="1172"/>
      <c r="P285" s="1244"/>
      <c r="R285" s="1182"/>
      <c r="S285" s="1182"/>
      <c r="T285" s="1182"/>
      <c r="U285" s="1182"/>
      <c r="V285" s="1182"/>
      <c r="W285" s="1182"/>
      <c r="X285" s="1182"/>
      <c r="Y285" s="1182"/>
    </row>
    <row r="286" spans="1:25" x14ac:dyDescent="0.2">
      <c r="A286" s="1763"/>
      <c r="B286" s="1763"/>
      <c r="C286" s="1763"/>
      <c r="D286" s="1763"/>
      <c r="E286" s="1181"/>
      <c r="I286" s="1172"/>
      <c r="J286" s="1172"/>
      <c r="K286" s="1172"/>
      <c r="L286" s="1172"/>
      <c r="M286" s="1172"/>
      <c r="N286" s="1172"/>
      <c r="O286" s="1172"/>
      <c r="P286" s="1244"/>
      <c r="R286" s="1182"/>
      <c r="S286" s="1182"/>
      <c r="T286" s="1182"/>
      <c r="U286" s="1182"/>
      <c r="V286" s="1182"/>
      <c r="W286" s="1182"/>
      <c r="X286" s="1182"/>
      <c r="Y286" s="1182"/>
    </row>
    <row r="287" spans="1:25" x14ac:dyDescent="0.2">
      <c r="A287" s="1763"/>
      <c r="B287" s="1763"/>
      <c r="C287" s="1763"/>
      <c r="D287" s="1763"/>
      <c r="E287" s="1181"/>
      <c r="I287" s="1172"/>
      <c r="J287" s="1172"/>
      <c r="K287" s="1172"/>
      <c r="L287" s="1172"/>
      <c r="M287" s="1172"/>
      <c r="N287" s="1172"/>
      <c r="O287" s="1172"/>
      <c r="P287" s="1165"/>
      <c r="R287" s="1182"/>
      <c r="S287" s="1182"/>
      <c r="T287" s="1182"/>
      <c r="U287" s="1182"/>
      <c r="V287" s="1182"/>
      <c r="W287" s="1182"/>
      <c r="X287" s="1182"/>
      <c r="Y287" s="1182"/>
    </row>
    <row r="288" spans="1:25" x14ac:dyDescent="0.2">
      <c r="A288" s="1763"/>
      <c r="B288" s="1763"/>
      <c r="C288" s="1763"/>
      <c r="D288" s="1763"/>
      <c r="E288" s="1181"/>
      <c r="I288" s="1172"/>
      <c r="J288" s="1172"/>
      <c r="K288" s="1172"/>
      <c r="L288" s="1172"/>
      <c r="M288" s="1172"/>
      <c r="N288" s="1172"/>
      <c r="O288" s="1172"/>
      <c r="P288" s="1165"/>
      <c r="R288" s="1182"/>
      <c r="S288" s="1182"/>
      <c r="T288" s="1182"/>
      <c r="U288" s="1182"/>
      <c r="V288" s="1182"/>
      <c r="W288" s="1182"/>
      <c r="X288" s="1182"/>
      <c r="Y288" s="1182"/>
    </row>
    <row r="289" spans="1:25" x14ac:dyDescent="0.2">
      <c r="A289" s="1763"/>
      <c r="B289" s="1763"/>
      <c r="C289" s="1763"/>
      <c r="D289" s="1763"/>
      <c r="E289" s="1181"/>
      <c r="I289" s="1172"/>
      <c r="J289" s="1172"/>
      <c r="K289" s="1172"/>
      <c r="L289" s="1172"/>
      <c r="M289" s="1172"/>
      <c r="N289" s="1172"/>
      <c r="O289" s="1172"/>
      <c r="P289" s="1165"/>
      <c r="R289" s="1182"/>
      <c r="S289" s="1182"/>
      <c r="T289" s="1182"/>
      <c r="U289" s="1182"/>
      <c r="V289" s="1182"/>
      <c r="W289" s="1182"/>
      <c r="X289" s="1182"/>
      <c r="Y289" s="1182"/>
    </row>
    <row r="290" spans="1:25" x14ac:dyDescent="0.2">
      <c r="A290" s="1763"/>
      <c r="B290" s="1763"/>
      <c r="C290" s="1763"/>
      <c r="D290" s="1763"/>
      <c r="E290" s="1181"/>
      <c r="I290" s="1172"/>
      <c r="J290" s="1172"/>
      <c r="K290" s="1172"/>
      <c r="L290" s="1172"/>
      <c r="M290" s="1172"/>
      <c r="N290" s="1172"/>
      <c r="O290" s="1172"/>
      <c r="P290" s="1165"/>
      <c r="R290" s="1182"/>
      <c r="S290" s="1182"/>
      <c r="T290" s="1182"/>
      <c r="U290" s="1182"/>
      <c r="V290" s="1182"/>
      <c r="W290" s="1182"/>
      <c r="X290" s="1182"/>
      <c r="Y290" s="1182"/>
    </row>
    <row r="291" spans="1:25" x14ac:dyDescent="0.2">
      <c r="A291" s="1763"/>
      <c r="B291" s="1763"/>
      <c r="C291" s="1763"/>
      <c r="D291" s="1763"/>
      <c r="E291" s="1181"/>
      <c r="I291" s="1172"/>
      <c r="J291" s="1172"/>
      <c r="K291" s="1172"/>
      <c r="L291" s="1172"/>
      <c r="M291" s="1172"/>
      <c r="N291" s="1172"/>
      <c r="O291" s="1172"/>
      <c r="P291" s="1165"/>
      <c r="R291" s="1182"/>
      <c r="S291" s="1182"/>
      <c r="T291" s="1182"/>
      <c r="U291" s="1182"/>
      <c r="V291" s="1182"/>
      <c r="W291" s="1182"/>
      <c r="X291" s="1182"/>
      <c r="Y291" s="1182"/>
    </row>
    <row r="292" spans="1:25" x14ac:dyDescent="0.2">
      <c r="A292" s="1763"/>
      <c r="B292" s="1763"/>
      <c r="C292" s="1763"/>
      <c r="D292" s="1763"/>
      <c r="E292" s="1181"/>
      <c r="I292" s="1172"/>
      <c r="J292" s="1172"/>
      <c r="K292" s="1172"/>
      <c r="L292" s="1172"/>
      <c r="M292" s="1172"/>
      <c r="N292" s="1172"/>
      <c r="O292" s="1172"/>
      <c r="P292" s="1165"/>
      <c r="R292" s="1182"/>
      <c r="S292" s="1182"/>
      <c r="T292" s="1182"/>
      <c r="U292" s="1182"/>
      <c r="V292" s="1182"/>
      <c r="W292" s="1182"/>
      <c r="X292" s="1182"/>
      <c r="Y292" s="1182"/>
    </row>
    <row r="293" spans="1:25" x14ac:dyDescent="0.2">
      <c r="A293" s="1763"/>
      <c r="B293" s="1763"/>
      <c r="C293" s="1763"/>
      <c r="D293" s="1763"/>
      <c r="E293" s="1181"/>
      <c r="I293" s="1172"/>
      <c r="J293" s="1172"/>
      <c r="K293" s="1172"/>
      <c r="L293" s="1172"/>
      <c r="M293" s="1172"/>
      <c r="N293" s="1172"/>
      <c r="O293" s="1172"/>
      <c r="P293" s="1165"/>
      <c r="R293" s="1182"/>
      <c r="S293" s="1182"/>
      <c r="T293" s="1182"/>
      <c r="U293" s="1182"/>
      <c r="V293" s="1182"/>
      <c r="W293" s="1182"/>
      <c r="X293" s="1182"/>
      <c r="Y293" s="1182"/>
    </row>
    <row r="294" spans="1:25" x14ac:dyDescent="0.2">
      <c r="A294" s="1763"/>
      <c r="B294" s="1763"/>
      <c r="C294" s="1763"/>
      <c r="D294" s="1763"/>
      <c r="E294" s="1181"/>
      <c r="I294" s="1172"/>
      <c r="J294" s="1172"/>
      <c r="K294" s="1172"/>
      <c r="L294" s="1172"/>
      <c r="M294" s="1172"/>
      <c r="N294" s="1172"/>
      <c r="O294" s="1172"/>
      <c r="P294" s="1165"/>
      <c r="R294" s="1182"/>
      <c r="S294" s="1182"/>
      <c r="T294" s="1182"/>
      <c r="U294" s="1182"/>
      <c r="V294" s="1182"/>
      <c r="W294" s="1182"/>
      <c r="X294" s="1182"/>
      <c r="Y294" s="1182"/>
    </row>
    <row r="295" spans="1:25" x14ac:dyDescent="0.2">
      <c r="A295" s="1763"/>
      <c r="B295" s="1763"/>
      <c r="C295" s="1763"/>
      <c r="D295" s="1763"/>
      <c r="E295" s="1181"/>
      <c r="I295" s="1172"/>
      <c r="J295" s="1172"/>
      <c r="K295" s="1172"/>
      <c r="L295" s="1172"/>
      <c r="M295" s="1172"/>
      <c r="N295" s="1172"/>
      <c r="O295" s="1172"/>
      <c r="P295" s="1165"/>
      <c r="R295" s="1182"/>
      <c r="S295" s="1182"/>
      <c r="T295" s="1182"/>
      <c r="U295" s="1182"/>
      <c r="V295" s="1182"/>
      <c r="W295" s="1182"/>
      <c r="X295" s="1182"/>
      <c r="Y295" s="1182"/>
    </row>
    <row r="296" spans="1:25" x14ac:dyDescent="0.2">
      <c r="A296" s="1763"/>
      <c r="B296" s="1763"/>
      <c r="C296" s="1763"/>
      <c r="D296" s="1763"/>
      <c r="E296" s="1181"/>
      <c r="I296" s="1172"/>
      <c r="J296" s="1172"/>
      <c r="K296" s="1172"/>
      <c r="L296" s="1172"/>
      <c r="M296" s="1172"/>
      <c r="N296" s="1172"/>
      <c r="O296" s="1172"/>
      <c r="P296" s="1165"/>
      <c r="R296" s="1182"/>
      <c r="S296" s="1182"/>
      <c r="T296" s="1182"/>
      <c r="U296" s="1182"/>
      <c r="V296" s="1182"/>
      <c r="W296" s="1182"/>
      <c r="X296" s="1182"/>
      <c r="Y296" s="1182"/>
    </row>
    <row r="297" spans="1:25" x14ac:dyDescent="0.2">
      <c r="A297" s="1763"/>
      <c r="B297" s="1763"/>
      <c r="C297" s="1763"/>
      <c r="D297" s="1763"/>
      <c r="E297" s="1181"/>
      <c r="I297" s="1172"/>
      <c r="J297" s="1172"/>
      <c r="K297" s="1172"/>
      <c r="L297" s="1172"/>
      <c r="M297" s="1172"/>
      <c r="N297" s="1172"/>
      <c r="O297" s="1172"/>
      <c r="P297" s="1165"/>
      <c r="R297" s="1182"/>
      <c r="S297" s="1182"/>
      <c r="T297" s="1182"/>
      <c r="U297" s="1182"/>
      <c r="V297" s="1182"/>
      <c r="W297" s="1182"/>
      <c r="X297" s="1182"/>
      <c r="Y297" s="1182"/>
    </row>
    <row r="298" spans="1:25" x14ac:dyDescent="0.2">
      <c r="A298" s="1763"/>
      <c r="B298" s="1763"/>
      <c r="C298" s="1763"/>
      <c r="D298" s="1763"/>
      <c r="E298" s="1181"/>
      <c r="I298" s="1172"/>
      <c r="J298" s="1172"/>
      <c r="K298" s="1172"/>
      <c r="L298" s="1172"/>
      <c r="M298" s="1172"/>
      <c r="N298" s="1172"/>
      <c r="O298" s="1172"/>
      <c r="P298" s="1165"/>
      <c r="R298" s="1182"/>
      <c r="S298" s="1182"/>
      <c r="T298" s="1182"/>
      <c r="U298" s="1182"/>
      <c r="V298" s="1182"/>
      <c r="W298" s="1182"/>
      <c r="X298" s="1182"/>
      <c r="Y298" s="1182"/>
    </row>
    <row r="299" spans="1:25" x14ac:dyDescent="0.2">
      <c r="A299" s="1763"/>
      <c r="B299" s="1763"/>
      <c r="C299" s="1763"/>
      <c r="D299" s="1763"/>
      <c r="E299" s="1181"/>
      <c r="I299" s="1172"/>
      <c r="J299" s="1172"/>
      <c r="K299" s="1172"/>
      <c r="L299" s="1172"/>
      <c r="M299" s="1172"/>
      <c r="N299" s="1172"/>
      <c r="O299" s="1172"/>
      <c r="P299" s="1165"/>
      <c r="R299" s="1182"/>
      <c r="S299" s="1182"/>
      <c r="T299" s="1182"/>
      <c r="U299" s="1182"/>
      <c r="V299" s="1182"/>
      <c r="W299" s="1182"/>
      <c r="X299" s="1182"/>
      <c r="Y299" s="1182"/>
    </row>
    <row r="300" spans="1:25" x14ac:dyDescent="0.2">
      <c r="A300" s="1763"/>
      <c r="B300" s="1763"/>
      <c r="C300" s="1763"/>
      <c r="D300" s="1763"/>
      <c r="E300" s="1181"/>
      <c r="I300" s="1172"/>
      <c r="J300" s="1172"/>
      <c r="K300" s="1172"/>
      <c r="L300" s="1172"/>
      <c r="M300" s="1172"/>
      <c r="N300" s="1172"/>
      <c r="O300" s="1172"/>
      <c r="P300" s="1165"/>
      <c r="R300" s="1182"/>
      <c r="S300" s="1182"/>
      <c r="T300" s="1182"/>
      <c r="U300" s="1182"/>
      <c r="V300" s="1182"/>
      <c r="W300" s="1182"/>
      <c r="X300" s="1182"/>
      <c r="Y300" s="1182"/>
    </row>
    <row r="301" spans="1:25" x14ac:dyDescent="0.2">
      <c r="A301" s="1763"/>
      <c r="B301" s="1763"/>
      <c r="C301" s="1763"/>
      <c r="D301" s="1763"/>
      <c r="E301" s="1181"/>
      <c r="I301" s="1172"/>
      <c r="J301" s="1172"/>
      <c r="K301" s="1172"/>
      <c r="L301" s="1172"/>
      <c r="M301" s="1172"/>
      <c r="N301" s="1172"/>
      <c r="O301" s="1172"/>
      <c r="P301" s="1183"/>
      <c r="R301" s="1182"/>
      <c r="S301" s="1182"/>
      <c r="T301" s="1182"/>
      <c r="U301" s="1182"/>
      <c r="V301" s="1182"/>
      <c r="W301" s="1182"/>
      <c r="X301" s="1182"/>
      <c r="Y301" s="1182"/>
    </row>
    <row r="302" spans="1:25" x14ac:dyDescent="0.2">
      <c r="A302" s="1763"/>
      <c r="B302" s="1763"/>
      <c r="C302" s="1763"/>
      <c r="D302" s="1763"/>
      <c r="E302" s="1181"/>
      <c r="I302" s="1172"/>
      <c r="J302" s="1172"/>
      <c r="K302" s="1172"/>
      <c r="L302" s="1172"/>
      <c r="M302" s="1172"/>
      <c r="N302" s="1172"/>
      <c r="O302" s="1172"/>
      <c r="P302" s="1165"/>
      <c r="R302" s="1182"/>
      <c r="S302" s="1182"/>
      <c r="T302" s="1182"/>
      <c r="U302" s="1182"/>
      <c r="V302" s="1182"/>
      <c r="W302" s="1182"/>
      <c r="X302" s="1182"/>
      <c r="Y302" s="1182"/>
    </row>
    <row r="303" spans="1:25" x14ac:dyDescent="0.2">
      <c r="A303" s="1763"/>
      <c r="B303" s="1763"/>
      <c r="C303" s="1763"/>
      <c r="D303" s="1763"/>
      <c r="E303" s="1181"/>
      <c r="I303" s="1172"/>
      <c r="J303" s="1172"/>
      <c r="K303" s="1172"/>
      <c r="L303" s="1172"/>
      <c r="M303" s="1172"/>
      <c r="N303" s="1172"/>
      <c r="O303" s="1172"/>
      <c r="P303" s="1165"/>
      <c r="R303" s="1182"/>
      <c r="S303" s="1182"/>
      <c r="T303" s="1182"/>
      <c r="U303" s="1182"/>
      <c r="V303" s="1182"/>
      <c r="W303" s="1182"/>
      <c r="X303" s="1182"/>
      <c r="Y303" s="1182"/>
    </row>
    <row r="304" spans="1:25" x14ac:dyDescent="0.2">
      <c r="A304" s="1763"/>
      <c r="B304" s="1763"/>
      <c r="C304" s="1763"/>
      <c r="D304" s="1763"/>
      <c r="E304" s="1181"/>
      <c r="I304" s="1172"/>
      <c r="J304" s="1172"/>
      <c r="K304" s="1172"/>
      <c r="L304" s="1172"/>
      <c r="M304" s="1172"/>
      <c r="N304" s="1172"/>
      <c r="O304" s="1172"/>
      <c r="P304" s="1165"/>
      <c r="R304" s="1182"/>
      <c r="S304" s="1182"/>
      <c r="T304" s="1182"/>
      <c r="U304" s="1182"/>
      <c r="V304" s="1182"/>
      <c r="W304" s="1182"/>
      <c r="X304" s="1182"/>
      <c r="Y304" s="1182"/>
    </row>
    <row r="305" spans="1:25" x14ac:dyDescent="0.2">
      <c r="A305" s="1763"/>
      <c r="B305" s="1763"/>
      <c r="C305" s="1763"/>
      <c r="D305" s="1763"/>
      <c r="E305" s="1181"/>
      <c r="I305" s="1172"/>
      <c r="J305" s="1172"/>
      <c r="K305" s="1172"/>
      <c r="L305" s="1172"/>
      <c r="M305" s="1172"/>
      <c r="N305" s="1172"/>
      <c r="O305" s="1172"/>
      <c r="P305" s="1165"/>
      <c r="R305" s="1182"/>
      <c r="S305" s="1182"/>
      <c r="T305" s="1182"/>
      <c r="U305" s="1182"/>
      <c r="V305" s="1182"/>
      <c r="W305" s="1182"/>
      <c r="X305" s="1182"/>
      <c r="Y305" s="1182"/>
    </row>
    <row r="306" spans="1:25" x14ac:dyDescent="0.2">
      <c r="A306" s="1763"/>
      <c r="B306" s="1763"/>
      <c r="C306" s="1763"/>
      <c r="D306" s="1763"/>
      <c r="E306" s="1181"/>
      <c r="I306" s="1172"/>
      <c r="J306" s="1172"/>
      <c r="K306" s="1172"/>
      <c r="L306" s="1172"/>
      <c r="M306" s="1172"/>
      <c r="N306" s="1172"/>
      <c r="O306" s="1172"/>
      <c r="P306" s="1165"/>
      <c r="R306" s="1182"/>
      <c r="S306" s="1182"/>
      <c r="T306" s="1182"/>
      <c r="U306" s="1182"/>
      <c r="V306" s="1182"/>
      <c r="W306" s="1182"/>
      <c r="X306" s="1182"/>
      <c r="Y306" s="1182"/>
    </row>
    <row r="307" spans="1:25" x14ac:dyDescent="0.2">
      <c r="A307" s="1763"/>
      <c r="B307" s="1763"/>
      <c r="C307" s="1763"/>
      <c r="D307" s="1763"/>
      <c r="E307" s="1181"/>
      <c r="I307" s="1172"/>
      <c r="J307" s="1172"/>
      <c r="K307" s="1172"/>
      <c r="L307" s="1172"/>
      <c r="M307" s="1172"/>
      <c r="N307" s="1172"/>
      <c r="O307" s="1172"/>
      <c r="P307" s="1165"/>
      <c r="R307" s="1182"/>
      <c r="S307" s="1182"/>
      <c r="T307" s="1182"/>
      <c r="U307" s="1182"/>
      <c r="V307" s="1182"/>
      <c r="W307" s="1182"/>
      <c r="X307" s="1182"/>
      <c r="Y307" s="1182"/>
    </row>
    <row r="308" spans="1:25" x14ac:dyDescent="0.2">
      <c r="A308" s="1763"/>
      <c r="B308" s="1763"/>
      <c r="C308" s="1763"/>
      <c r="D308" s="1763"/>
      <c r="E308" s="1181"/>
      <c r="I308" s="1172"/>
      <c r="J308" s="1172"/>
      <c r="K308" s="1172"/>
      <c r="L308" s="1172"/>
      <c r="M308" s="1172"/>
      <c r="N308" s="1172"/>
      <c r="O308" s="1172"/>
      <c r="P308" s="1165"/>
      <c r="R308" s="1182"/>
      <c r="S308" s="1182"/>
      <c r="T308" s="1182"/>
      <c r="U308" s="1182"/>
      <c r="V308" s="1182"/>
      <c r="W308" s="1182"/>
      <c r="X308" s="1182"/>
      <c r="Y308" s="1182"/>
    </row>
    <row r="309" spans="1:25" x14ac:dyDescent="0.2">
      <c r="A309" s="1763"/>
      <c r="B309" s="1763"/>
      <c r="C309" s="1763"/>
      <c r="D309" s="1763"/>
      <c r="E309" s="1181"/>
      <c r="I309" s="1172"/>
      <c r="J309" s="1172"/>
      <c r="K309" s="1172"/>
      <c r="L309" s="1172"/>
      <c r="M309" s="1172"/>
      <c r="N309" s="1172"/>
      <c r="O309" s="1172"/>
      <c r="P309" s="1165"/>
      <c r="R309" s="1182"/>
      <c r="S309" s="1182"/>
      <c r="T309" s="1182"/>
      <c r="U309" s="1182"/>
      <c r="V309" s="1182"/>
      <c r="W309" s="1182"/>
      <c r="X309" s="1182"/>
      <c r="Y309" s="1182"/>
    </row>
    <row r="310" spans="1:25" x14ac:dyDescent="0.2">
      <c r="A310" s="1763"/>
      <c r="B310" s="1763"/>
      <c r="C310" s="1763"/>
      <c r="D310" s="1763"/>
      <c r="E310" s="1181"/>
      <c r="I310" s="1172"/>
      <c r="J310" s="1172"/>
      <c r="K310" s="1172"/>
      <c r="L310" s="1172"/>
      <c r="M310" s="1172"/>
      <c r="N310" s="1172"/>
      <c r="O310" s="1172"/>
      <c r="P310" s="1183"/>
      <c r="R310" s="1182"/>
      <c r="S310" s="1182"/>
      <c r="T310" s="1182"/>
      <c r="U310" s="1182"/>
      <c r="V310" s="1182"/>
      <c r="W310" s="1182"/>
      <c r="X310" s="1182"/>
      <c r="Y310" s="1182"/>
    </row>
    <row r="311" spans="1:25" x14ac:dyDescent="0.2">
      <c r="A311" s="1763"/>
      <c r="B311" s="1763"/>
      <c r="C311" s="1763"/>
      <c r="D311" s="1763"/>
      <c r="E311" s="1181"/>
      <c r="I311" s="1172"/>
      <c r="J311" s="1172"/>
      <c r="K311" s="1172"/>
      <c r="L311" s="1172"/>
      <c r="M311" s="1172"/>
      <c r="N311" s="1172"/>
      <c r="O311" s="1172"/>
      <c r="P311" s="1165"/>
      <c r="R311" s="1182"/>
      <c r="S311" s="1182"/>
      <c r="T311" s="1182"/>
      <c r="U311" s="1182"/>
      <c r="V311" s="1182"/>
      <c r="W311" s="1182"/>
      <c r="X311" s="1182"/>
      <c r="Y311" s="1182"/>
    </row>
    <row r="312" spans="1:25" x14ac:dyDescent="0.2">
      <c r="A312" s="1763"/>
      <c r="B312" s="1763"/>
      <c r="C312" s="1763"/>
      <c r="D312" s="1763"/>
      <c r="E312" s="1181"/>
      <c r="I312" s="1172"/>
      <c r="J312" s="1172"/>
      <c r="K312" s="1172"/>
      <c r="L312" s="1172"/>
      <c r="M312" s="1172"/>
      <c r="N312" s="1172"/>
      <c r="O312" s="1172"/>
      <c r="P312" s="1165"/>
      <c r="R312" s="1182"/>
      <c r="S312" s="1182"/>
      <c r="T312" s="1182"/>
      <c r="U312" s="1182"/>
      <c r="V312" s="1182"/>
      <c r="W312" s="1182"/>
      <c r="X312" s="1182"/>
      <c r="Y312" s="1182"/>
    </row>
    <row r="313" spans="1:25" x14ac:dyDescent="0.2">
      <c r="A313" s="1763"/>
      <c r="B313" s="1763"/>
      <c r="C313" s="1763"/>
      <c r="D313" s="1763"/>
      <c r="E313" s="1181"/>
      <c r="I313" s="1172"/>
      <c r="J313" s="1172"/>
      <c r="K313" s="1172"/>
      <c r="L313" s="1172"/>
      <c r="M313" s="1172"/>
      <c r="N313" s="1172"/>
      <c r="O313" s="1172"/>
      <c r="P313" s="1165"/>
      <c r="R313" s="1182"/>
      <c r="S313" s="1182"/>
      <c r="T313" s="1182"/>
      <c r="U313" s="1182"/>
      <c r="V313" s="1182"/>
      <c r="W313" s="1182"/>
      <c r="X313" s="1182"/>
      <c r="Y313" s="1182"/>
    </row>
    <row r="314" spans="1:25" x14ac:dyDescent="0.2">
      <c r="A314" s="1763"/>
      <c r="B314" s="1763"/>
      <c r="C314" s="1763"/>
      <c r="D314" s="1763"/>
      <c r="E314" s="1181"/>
      <c r="I314" s="1172"/>
      <c r="J314" s="1172"/>
      <c r="K314" s="1172"/>
      <c r="L314" s="1172"/>
      <c r="M314" s="1172"/>
      <c r="N314" s="1172"/>
      <c r="O314" s="1172"/>
      <c r="P314" s="1165"/>
      <c r="R314" s="1182"/>
      <c r="S314" s="1182"/>
      <c r="T314" s="1182"/>
      <c r="U314" s="1182"/>
      <c r="V314" s="1182"/>
      <c r="W314" s="1182"/>
      <c r="X314" s="1182"/>
      <c r="Y314" s="1182"/>
    </row>
    <row r="315" spans="1:25" x14ac:dyDescent="0.2">
      <c r="A315" s="1763"/>
      <c r="B315" s="1763"/>
      <c r="C315" s="1763"/>
      <c r="D315" s="1763"/>
      <c r="E315" s="1181"/>
      <c r="I315" s="1172"/>
      <c r="J315" s="1172"/>
      <c r="K315" s="1172"/>
      <c r="L315" s="1172"/>
      <c r="M315" s="1172"/>
      <c r="N315" s="1172"/>
      <c r="O315" s="1172"/>
      <c r="P315" s="1165"/>
      <c r="R315" s="1182"/>
      <c r="S315" s="1182"/>
      <c r="T315" s="1182"/>
      <c r="U315" s="1182"/>
      <c r="V315" s="1182"/>
      <c r="W315" s="1182"/>
      <c r="X315" s="1182"/>
      <c r="Y315" s="1182"/>
    </row>
    <row r="316" spans="1:25" x14ac:dyDescent="0.2">
      <c r="A316" s="1763"/>
      <c r="B316" s="1763"/>
      <c r="C316" s="1763"/>
      <c r="D316" s="1763"/>
      <c r="E316" s="1181"/>
      <c r="I316" s="1172"/>
      <c r="J316" s="1172"/>
      <c r="K316" s="1172"/>
      <c r="L316" s="1172"/>
      <c r="M316" s="1172"/>
      <c r="N316" s="1172"/>
      <c r="O316" s="1172"/>
      <c r="P316" s="1165"/>
      <c r="R316" s="1182"/>
      <c r="S316" s="1182"/>
      <c r="T316" s="1182"/>
      <c r="U316" s="1182"/>
      <c r="V316" s="1182"/>
      <c r="W316" s="1182"/>
      <c r="X316" s="1182"/>
      <c r="Y316" s="1182"/>
    </row>
    <row r="317" spans="1:25" x14ac:dyDescent="0.2">
      <c r="A317" s="1763"/>
      <c r="B317" s="1763"/>
      <c r="C317" s="1763"/>
      <c r="D317" s="1763"/>
      <c r="E317" s="1181"/>
      <c r="I317" s="1172"/>
      <c r="J317" s="1172"/>
      <c r="K317" s="1172"/>
      <c r="L317" s="1172"/>
      <c r="M317" s="1172"/>
      <c r="N317" s="1172"/>
      <c r="O317" s="1172"/>
      <c r="P317" s="1165"/>
      <c r="R317" s="1182"/>
      <c r="S317" s="1182"/>
      <c r="T317" s="1182"/>
      <c r="U317" s="1182"/>
      <c r="V317" s="1182"/>
      <c r="W317" s="1182"/>
      <c r="X317" s="1182"/>
      <c r="Y317" s="1182"/>
    </row>
    <row r="318" spans="1:25" x14ac:dyDescent="0.2">
      <c r="A318" s="1763"/>
      <c r="B318" s="1763"/>
      <c r="C318" s="1763"/>
      <c r="D318" s="1763"/>
      <c r="E318" s="1181"/>
      <c r="I318" s="1172"/>
      <c r="J318" s="1172"/>
      <c r="K318" s="1172"/>
      <c r="L318" s="1172"/>
      <c r="M318" s="1172"/>
      <c r="N318" s="1172"/>
      <c r="O318" s="1172"/>
      <c r="P318" s="1165"/>
      <c r="R318" s="1182"/>
      <c r="S318" s="1182"/>
      <c r="T318" s="1182"/>
      <c r="U318" s="1182"/>
      <c r="V318" s="1182"/>
      <c r="W318" s="1182"/>
      <c r="X318" s="1182"/>
      <c r="Y318" s="1182"/>
    </row>
    <row r="319" spans="1:25" x14ac:dyDescent="0.2">
      <c r="A319" s="1763"/>
      <c r="B319" s="1763"/>
      <c r="C319" s="1763"/>
      <c r="D319" s="1763"/>
      <c r="E319" s="1181"/>
      <c r="I319" s="1172"/>
      <c r="J319" s="1172"/>
      <c r="K319" s="1172"/>
      <c r="L319" s="1172"/>
      <c r="M319" s="1172"/>
      <c r="N319" s="1172"/>
      <c r="O319" s="1172"/>
      <c r="P319" s="1165"/>
      <c r="R319" s="1182"/>
      <c r="S319" s="1182"/>
      <c r="T319" s="1182"/>
      <c r="U319" s="1182"/>
      <c r="V319" s="1182"/>
      <c r="W319" s="1182"/>
      <c r="X319" s="1182"/>
      <c r="Y319" s="1182"/>
    </row>
    <row r="320" spans="1:25" x14ac:dyDescent="0.2">
      <c r="A320" s="1763"/>
      <c r="B320" s="1763"/>
      <c r="C320" s="1763"/>
      <c r="D320" s="1763"/>
      <c r="E320" s="1181"/>
      <c r="I320" s="1172"/>
      <c r="J320" s="1172"/>
      <c r="K320" s="1172"/>
      <c r="L320" s="1172"/>
      <c r="M320" s="1172"/>
      <c r="N320" s="1172"/>
      <c r="O320" s="1172"/>
      <c r="P320" s="1165"/>
      <c r="R320" s="1182"/>
      <c r="S320" s="1182"/>
      <c r="T320" s="1182"/>
      <c r="U320" s="1182"/>
      <c r="V320" s="1182"/>
      <c r="W320" s="1182"/>
      <c r="X320" s="1182"/>
      <c r="Y320" s="1182"/>
    </row>
    <row r="321" spans="1:25" x14ac:dyDescent="0.2">
      <c r="A321" s="1763"/>
      <c r="B321" s="1763"/>
      <c r="C321" s="1763"/>
      <c r="D321" s="1763"/>
      <c r="E321" s="1181"/>
      <c r="I321" s="1172"/>
      <c r="J321" s="1172"/>
      <c r="K321" s="1172"/>
      <c r="L321" s="1172"/>
      <c r="M321" s="1172"/>
      <c r="N321" s="1172"/>
      <c r="O321" s="1172"/>
      <c r="P321" s="1165"/>
      <c r="R321" s="1182"/>
      <c r="S321" s="1182"/>
      <c r="T321" s="1182"/>
      <c r="U321" s="1182"/>
      <c r="V321" s="1182"/>
      <c r="W321" s="1182"/>
      <c r="X321" s="1182"/>
      <c r="Y321" s="1182"/>
    </row>
    <row r="322" spans="1:25" x14ac:dyDescent="0.2">
      <c r="A322" s="1763"/>
      <c r="B322" s="1763"/>
      <c r="C322" s="1763"/>
      <c r="D322" s="1763"/>
      <c r="E322" s="1181"/>
      <c r="I322" s="1172"/>
      <c r="J322" s="1172"/>
      <c r="K322" s="1172"/>
      <c r="L322" s="1172"/>
      <c r="M322" s="1172"/>
      <c r="N322" s="1172"/>
      <c r="O322" s="1172"/>
      <c r="P322" s="1165"/>
      <c r="R322" s="1182"/>
      <c r="S322" s="1182"/>
      <c r="T322" s="1182"/>
      <c r="U322" s="1182"/>
      <c r="V322" s="1182"/>
      <c r="W322" s="1182"/>
      <c r="X322" s="1182"/>
      <c r="Y322" s="1182"/>
    </row>
    <row r="323" spans="1:25" x14ac:dyDescent="0.2">
      <c r="A323" s="1763"/>
      <c r="B323" s="1763"/>
      <c r="C323" s="1763"/>
      <c r="D323" s="1763"/>
      <c r="E323" s="1181"/>
      <c r="I323" s="1172"/>
      <c r="J323" s="1172"/>
      <c r="K323" s="1172"/>
      <c r="L323" s="1172"/>
      <c r="M323" s="1172"/>
      <c r="N323" s="1172"/>
      <c r="O323" s="1172"/>
      <c r="P323" s="1165"/>
      <c r="R323" s="1182"/>
      <c r="S323" s="1182"/>
      <c r="T323" s="1182"/>
      <c r="U323" s="1182"/>
      <c r="V323" s="1182"/>
      <c r="W323" s="1182"/>
      <c r="X323" s="1182"/>
      <c r="Y323" s="1182"/>
    </row>
    <row r="324" spans="1:25" x14ac:dyDescent="0.2">
      <c r="A324" s="1763"/>
      <c r="B324" s="1763"/>
      <c r="C324" s="1763"/>
      <c r="D324" s="1763"/>
      <c r="E324" s="1181"/>
      <c r="I324" s="1172"/>
      <c r="J324" s="1172"/>
      <c r="K324" s="1172"/>
      <c r="L324" s="1172"/>
      <c r="M324" s="1172"/>
      <c r="N324" s="1172"/>
      <c r="O324" s="1172"/>
      <c r="P324" s="1165"/>
      <c r="R324" s="1182"/>
      <c r="S324" s="1182"/>
      <c r="T324" s="1182"/>
      <c r="U324" s="1182"/>
      <c r="V324" s="1182"/>
      <c r="W324" s="1182"/>
      <c r="X324" s="1182"/>
      <c r="Y324" s="1182"/>
    </row>
    <row r="325" spans="1:25" x14ac:dyDescent="0.2">
      <c r="A325" s="1763"/>
      <c r="B325" s="1763"/>
      <c r="C325" s="1763"/>
      <c r="D325" s="1763"/>
      <c r="E325" s="1181"/>
      <c r="I325" s="1172"/>
      <c r="J325" s="1172"/>
      <c r="K325" s="1172"/>
      <c r="L325" s="1172"/>
      <c r="M325" s="1172"/>
      <c r="N325" s="1172"/>
      <c r="O325" s="1172"/>
      <c r="P325" s="1165"/>
      <c r="R325" s="1182"/>
      <c r="S325" s="1182"/>
      <c r="T325" s="1182"/>
      <c r="U325" s="1182"/>
      <c r="V325" s="1182"/>
      <c r="W325" s="1182"/>
      <c r="X325" s="1182"/>
      <c r="Y325" s="1182"/>
    </row>
    <row r="326" spans="1:25" x14ac:dyDescent="0.2">
      <c r="A326" s="1763"/>
      <c r="B326" s="1763"/>
      <c r="C326" s="1763"/>
      <c r="D326" s="1763"/>
      <c r="E326" s="1181"/>
      <c r="I326" s="1172"/>
      <c r="J326" s="1172"/>
      <c r="K326" s="1172"/>
      <c r="L326" s="1172"/>
      <c r="M326" s="1172"/>
      <c r="N326" s="1172"/>
      <c r="O326" s="1172"/>
      <c r="P326" s="1165"/>
      <c r="R326" s="1182"/>
      <c r="S326" s="1182"/>
      <c r="T326" s="1182"/>
      <c r="U326" s="1182"/>
      <c r="V326" s="1182"/>
      <c r="W326" s="1182"/>
      <c r="X326" s="1182"/>
      <c r="Y326" s="1182"/>
    </row>
    <row r="327" spans="1:25" x14ac:dyDescent="0.2">
      <c r="A327" s="1763"/>
      <c r="B327" s="1763"/>
      <c r="C327" s="1763"/>
      <c r="D327" s="1763"/>
      <c r="E327" s="1181"/>
      <c r="I327" s="1172"/>
      <c r="J327" s="1172"/>
      <c r="K327" s="1172"/>
      <c r="L327" s="1172"/>
      <c r="M327" s="1172"/>
      <c r="N327" s="1172"/>
      <c r="O327" s="1172"/>
      <c r="P327" s="1165"/>
      <c r="R327" s="1182"/>
      <c r="S327" s="1182"/>
      <c r="T327" s="1182"/>
      <c r="U327" s="1182"/>
      <c r="V327" s="1182"/>
      <c r="W327" s="1182"/>
      <c r="X327" s="1182"/>
      <c r="Y327" s="1182"/>
    </row>
    <row r="328" spans="1:25" x14ac:dyDescent="0.2">
      <c r="A328" s="1763"/>
      <c r="B328" s="1763"/>
      <c r="C328" s="1763"/>
      <c r="D328" s="1763"/>
      <c r="E328" s="1181"/>
      <c r="I328" s="1172"/>
      <c r="J328" s="1172"/>
      <c r="K328" s="1172"/>
      <c r="L328" s="1172"/>
      <c r="M328" s="1172"/>
      <c r="N328" s="1172"/>
      <c r="O328" s="1172"/>
      <c r="P328" s="1165"/>
      <c r="R328" s="1182"/>
      <c r="S328" s="1182"/>
      <c r="T328" s="1182"/>
      <c r="U328" s="1182"/>
      <c r="V328" s="1182"/>
      <c r="W328" s="1182"/>
      <c r="X328" s="1182"/>
      <c r="Y328" s="1182"/>
    </row>
    <row r="329" spans="1:25" x14ac:dyDescent="0.2">
      <c r="A329" s="1763"/>
      <c r="B329" s="1763"/>
      <c r="C329" s="1763"/>
      <c r="D329" s="1763"/>
      <c r="E329" s="1181"/>
      <c r="I329" s="1172"/>
      <c r="J329" s="1172"/>
      <c r="K329" s="1172"/>
      <c r="L329" s="1172"/>
      <c r="M329" s="1172"/>
      <c r="N329" s="1172"/>
      <c r="O329" s="1172"/>
      <c r="P329" s="1183"/>
      <c r="R329" s="1182"/>
      <c r="S329" s="1182"/>
      <c r="T329" s="1182"/>
      <c r="U329" s="1182"/>
      <c r="V329" s="1182"/>
      <c r="W329" s="1182"/>
      <c r="X329" s="1182"/>
      <c r="Y329" s="1182"/>
    </row>
    <row r="330" spans="1:25" x14ac:dyDescent="0.2">
      <c r="A330" s="1763"/>
      <c r="B330" s="1763"/>
      <c r="C330" s="1763"/>
      <c r="D330" s="1763"/>
      <c r="E330" s="1181"/>
      <c r="I330" s="1172"/>
      <c r="J330" s="1172"/>
      <c r="K330" s="1172"/>
      <c r="L330" s="1172"/>
      <c r="M330" s="1172"/>
      <c r="N330" s="1172"/>
      <c r="O330" s="1172"/>
      <c r="P330" s="1165"/>
      <c r="R330" s="1182"/>
      <c r="S330" s="1182"/>
      <c r="T330" s="1182"/>
      <c r="U330" s="1182"/>
      <c r="V330" s="1182"/>
      <c r="W330" s="1182"/>
      <c r="X330" s="1182"/>
      <c r="Y330" s="1182"/>
    </row>
    <row r="331" spans="1:25" x14ac:dyDescent="0.2">
      <c r="A331" s="1763"/>
      <c r="B331" s="1763"/>
      <c r="C331" s="1763"/>
      <c r="D331" s="1763"/>
      <c r="E331" s="1181"/>
      <c r="I331" s="1172"/>
      <c r="J331" s="1172"/>
      <c r="K331" s="1172"/>
      <c r="L331" s="1172"/>
      <c r="M331" s="1172"/>
      <c r="N331" s="1172"/>
      <c r="O331" s="1172"/>
      <c r="P331" s="1165"/>
      <c r="R331" s="1182"/>
      <c r="S331" s="1182"/>
      <c r="T331" s="1182"/>
      <c r="U331" s="1182"/>
      <c r="V331" s="1182"/>
      <c r="W331" s="1182"/>
      <c r="X331" s="1182"/>
      <c r="Y331" s="1182"/>
    </row>
    <row r="332" spans="1:25" x14ac:dyDescent="0.2">
      <c r="A332" s="1763"/>
      <c r="B332" s="1763"/>
      <c r="C332" s="1763"/>
      <c r="D332" s="1763"/>
      <c r="E332" s="1181"/>
      <c r="I332" s="1172"/>
      <c r="J332" s="1172"/>
      <c r="K332" s="1172"/>
      <c r="L332" s="1172"/>
      <c r="M332" s="1172"/>
      <c r="N332" s="1172"/>
      <c r="O332" s="1172"/>
      <c r="P332" s="1165"/>
      <c r="R332" s="1182"/>
      <c r="S332" s="1182"/>
      <c r="T332" s="1182"/>
      <c r="U332" s="1182"/>
      <c r="V332" s="1182"/>
      <c r="W332" s="1182"/>
      <c r="X332" s="1182"/>
      <c r="Y332" s="1182"/>
    </row>
    <row r="333" spans="1:25" x14ac:dyDescent="0.2">
      <c r="A333" s="1763"/>
      <c r="B333" s="1763"/>
      <c r="C333" s="1763"/>
      <c r="D333" s="1763"/>
      <c r="E333" s="1181"/>
      <c r="I333" s="1172"/>
      <c r="J333" s="1172"/>
      <c r="K333" s="1172"/>
      <c r="L333" s="1172"/>
      <c r="M333" s="1172"/>
      <c r="N333" s="1172"/>
      <c r="O333" s="1172"/>
      <c r="P333" s="1183"/>
      <c r="R333" s="1182"/>
      <c r="S333" s="1182"/>
      <c r="T333" s="1182"/>
      <c r="U333" s="1182"/>
      <c r="V333" s="1182"/>
      <c r="W333" s="1182"/>
      <c r="X333" s="1182"/>
      <c r="Y333" s="1182"/>
    </row>
    <row r="334" spans="1:25" x14ac:dyDescent="0.2">
      <c r="A334" s="1763"/>
      <c r="B334" s="1763"/>
      <c r="C334" s="1763"/>
      <c r="D334" s="1763"/>
      <c r="E334" s="1181"/>
      <c r="I334" s="1172"/>
      <c r="J334" s="1172"/>
      <c r="K334" s="1172"/>
      <c r="L334" s="1172"/>
      <c r="M334" s="1172"/>
      <c r="N334" s="1172"/>
      <c r="O334" s="1172"/>
      <c r="P334" s="1165"/>
      <c r="R334" s="1182"/>
      <c r="S334" s="1182"/>
      <c r="T334" s="1182"/>
      <c r="U334" s="1182"/>
      <c r="V334" s="1182"/>
      <c r="W334" s="1182"/>
      <c r="X334" s="1182"/>
      <c r="Y334" s="1182"/>
    </row>
    <row r="335" spans="1:25" x14ac:dyDescent="0.2">
      <c r="A335" s="1763"/>
      <c r="B335" s="1763"/>
      <c r="C335" s="1763"/>
      <c r="D335" s="1763"/>
      <c r="E335" s="1181"/>
      <c r="I335" s="1172"/>
      <c r="J335" s="1172"/>
      <c r="K335" s="1172"/>
      <c r="L335" s="1172"/>
      <c r="M335" s="1172"/>
      <c r="N335" s="1172"/>
      <c r="O335" s="1172"/>
      <c r="P335" s="1165"/>
      <c r="R335" s="1182"/>
      <c r="S335" s="1182"/>
      <c r="T335" s="1182"/>
      <c r="U335" s="1182"/>
      <c r="V335" s="1182"/>
      <c r="W335" s="1182"/>
      <c r="X335" s="1182"/>
      <c r="Y335" s="1182"/>
    </row>
    <row r="336" spans="1:25" x14ac:dyDescent="0.2">
      <c r="A336" s="1763"/>
      <c r="B336" s="1763"/>
      <c r="C336" s="1763"/>
      <c r="D336" s="1763"/>
      <c r="E336" s="1181"/>
      <c r="I336" s="1172"/>
      <c r="J336" s="1172"/>
      <c r="K336" s="1172"/>
      <c r="L336" s="1172"/>
      <c r="M336" s="1172"/>
      <c r="N336" s="1172"/>
      <c r="O336" s="1172"/>
      <c r="P336" s="1165"/>
      <c r="R336" s="1182"/>
      <c r="S336" s="1182"/>
      <c r="T336" s="1182"/>
      <c r="U336" s="1182"/>
      <c r="V336" s="1182"/>
      <c r="W336" s="1182"/>
      <c r="X336" s="1182"/>
      <c r="Y336" s="1182"/>
    </row>
    <row r="337" spans="1:25" x14ac:dyDescent="0.2">
      <c r="A337" s="1763"/>
      <c r="B337" s="1763"/>
      <c r="C337" s="1763"/>
      <c r="D337" s="1763"/>
      <c r="E337" s="1181"/>
      <c r="I337" s="1172"/>
      <c r="J337" s="1172"/>
      <c r="K337" s="1172"/>
      <c r="L337" s="1172"/>
      <c r="M337" s="1172"/>
      <c r="N337" s="1172"/>
      <c r="O337" s="1172"/>
      <c r="P337" s="1165"/>
      <c r="R337" s="1182"/>
      <c r="S337" s="1182"/>
      <c r="T337" s="1182"/>
      <c r="U337" s="1182"/>
      <c r="V337" s="1182"/>
      <c r="W337" s="1182"/>
      <c r="X337" s="1182"/>
      <c r="Y337" s="1182"/>
    </row>
    <row r="338" spans="1:25" x14ac:dyDescent="0.2">
      <c r="A338" s="1763"/>
      <c r="B338" s="1763"/>
      <c r="C338" s="1763"/>
      <c r="D338" s="1763"/>
      <c r="E338" s="1181"/>
      <c r="I338" s="1172"/>
      <c r="J338" s="1172"/>
      <c r="K338" s="1172"/>
      <c r="L338" s="1172"/>
      <c r="M338" s="1172"/>
      <c r="N338" s="1172"/>
      <c r="O338" s="1172"/>
      <c r="P338" s="1165"/>
      <c r="R338" s="1182"/>
      <c r="S338" s="1182"/>
      <c r="T338" s="1182"/>
      <c r="U338" s="1182"/>
      <c r="V338" s="1182"/>
      <c r="W338" s="1182"/>
      <c r="X338" s="1182"/>
      <c r="Y338" s="1182"/>
    </row>
    <row r="339" spans="1:25" x14ac:dyDescent="0.2">
      <c r="A339" s="1763"/>
      <c r="B339" s="1763"/>
      <c r="C339" s="1763"/>
      <c r="D339" s="1763"/>
      <c r="E339" s="1181"/>
      <c r="R339" s="1182"/>
      <c r="S339" s="1182"/>
      <c r="T339" s="1182"/>
      <c r="U339" s="1182"/>
      <c r="V339" s="1182"/>
      <c r="W339" s="1182"/>
      <c r="X339" s="1182"/>
      <c r="Y339" s="1182"/>
    </row>
    <row r="340" spans="1:25" x14ac:dyDescent="0.2">
      <c r="A340" s="1763"/>
      <c r="B340" s="1763"/>
      <c r="C340" s="1763"/>
      <c r="D340" s="1763"/>
      <c r="E340" s="1181"/>
      <c r="R340" s="1182"/>
      <c r="S340" s="1182"/>
      <c r="T340" s="1182"/>
      <c r="U340" s="1182"/>
      <c r="V340" s="1182"/>
      <c r="W340" s="1182"/>
      <c r="X340" s="1182"/>
      <c r="Y340" s="1182"/>
    </row>
    <row r="341" spans="1:25" x14ac:dyDescent="0.2">
      <c r="A341" s="1763"/>
      <c r="B341" s="1763"/>
      <c r="C341" s="1763"/>
      <c r="D341" s="1763"/>
      <c r="E341" s="1181"/>
      <c r="R341" s="1182"/>
      <c r="S341" s="1182"/>
      <c r="T341" s="1182"/>
      <c r="U341" s="1182"/>
      <c r="V341" s="1182"/>
      <c r="W341" s="1182"/>
      <c r="X341" s="1182"/>
      <c r="Y341" s="1182"/>
    </row>
    <row r="342" spans="1:25" x14ac:dyDescent="0.2">
      <c r="A342" s="1763"/>
      <c r="B342" s="1763"/>
      <c r="C342" s="1763"/>
      <c r="D342" s="1763"/>
      <c r="E342" s="1181"/>
      <c r="R342" s="1182"/>
      <c r="S342" s="1182"/>
      <c r="T342" s="1182"/>
      <c r="U342" s="1182"/>
      <c r="V342" s="1182"/>
      <c r="W342" s="1182"/>
      <c r="X342" s="1182"/>
      <c r="Y342" s="1182"/>
    </row>
    <row r="343" spans="1:25" x14ac:dyDescent="0.2">
      <c r="A343" s="1763"/>
      <c r="B343" s="1763"/>
      <c r="C343" s="1763"/>
      <c r="D343" s="1763"/>
      <c r="E343" s="1181"/>
      <c r="R343" s="1182"/>
      <c r="S343" s="1182"/>
      <c r="T343" s="1182"/>
      <c r="U343" s="1182"/>
      <c r="V343" s="1182"/>
      <c r="W343" s="1182"/>
      <c r="X343" s="1182"/>
      <c r="Y343" s="1182"/>
    </row>
    <row r="344" spans="1:25" x14ac:dyDescent="0.2">
      <c r="A344" s="1763"/>
      <c r="B344" s="1763"/>
      <c r="C344" s="1763"/>
      <c r="D344" s="1763"/>
      <c r="E344" s="1181"/>
      <c r="R344" s="1182"/>
      <c r="S344" s="1182"/>
      <c r="T344" s="1182"/>
      <c r="U344" s="1182"/>
      <c r="V344" s="1182"/>
      <c r="W344" s="1182"/>
      <c r="X344" s="1182"/>
      <c r="Y344" s="1182"/>
    </row>
    <row r="345" spans="1:25" x14ac:dyDescent="0.2">
      <c r="A345" s="1763"/>
      <c r="B345" s="1763"/>
      <c r="C345" s="1763"/>
      <c r="D345" s="1763"/>
      <c r="E345" s="1181"/>
      <c r="R345" s="1182"/>
      <c r="S345" s="1182"/>
      <c r="T345" s="1182"/>
      <c r="U345" s="1182"/>
      <c r="V345" s="1182"/>
      <c r="W345" s="1182"/>
      <c r="X345" s="1182"/>
      <c r="Y345" s="1182"/>
    </row>
    <row r="346" spans="1:25" x14ac:dyDescent="0.2">
      <c r="A346" s="1763"/>
      <c r="B346" s="1763"/>
      <c r="C346" s="1763"/>
      <c r="D346" s="1763"/>
      <c r="E346" s="1181"/>
      <c r="R346" s="1182"/>
      <c r="S346" s="1182"/>
      <c r="T346" s="1182"/>
      <c r="U346" s="1182"/>
      <c r="V346" s="1182"/>
      <c r="W346" s="1182"/>
      <c r="X346" s="1182"/>
      <c r="Y346" s="1182"/>
    </row>
    <row r="347" spans="1:25" x14ac:dyDescent="0.2">
      <c r="A347" s="1763"/>
      <c r="B347" s="1763"/>
      <c r="C347" s="1763"/>
      <c r="D347" s="1763"/>
      <c r="E347" s="1181"/>
      <c r="R347" s="1182"/>
      <c r="S347" s="1182"/>
      <c r="T347" s="1182"/>
      <c r="U347" s="1182"/>
      <c r="V347" s="1182"/>
      <c r="W347" s="1182"/>
      <c r="X347" s="1182"/>
      <c r="Y347" s="1182"/>
    </row>
    <row r="348" spans="1:25" x14ac:dyDescent="0.2">
      <c r="A348" s="1763"/>
      <c r="B348" s="1763"/>
      <c r="C348" s="1763"/>
      <c r="D348" s="1763"/>
      <c r="E348" s="1181"/>
      <c r="R348" s="1182"/>
      <c r="S348" s="1182"/>
      <c r="T348" s="1182"/>
      <c r="U348" s="1182"/>
      <c r="V348" s="1182"/>
      <c r="W348" s="1182"/>
      <c r="X348" s="1182"/>
      <c r="Y348" s="1182"/>
    </row>
    <row r="349" spans="1:25" x14ac:dyDescent="0.2">
      <c r="A349" s="1763"/>
      <c r="B349" s="1763"/>
      <c r="C349" s="1763"/>
      <c r="D349" s="1763"/>
      <c r="E349" s="1181"/>
      <c r="R349" s="1182"/>
      <c r="S349" s="1182"/>
      <c r="T349" s="1182"/>
      <c r="U349" s="1182"/>
      <c r="V349" s="1182"/>
      <c r="W349" s="1182"/>
      <c r="X349" s="1182"/>
      <c r="Y349" s="1182"/>
    </row>
    <row r="350" spans="1:25" x14ac:dyDescent="0.2">
      <c r="A350" s="1763"/>
      <c r="B350" s="1763"/>
      <c r="C350" s="1763"/>
      <c r="D350" s="1763"/>
      <c r="E350" s="1181"/>
      <c r="R350" s="1182"/>
      <c r="S350" s="1182"/>
      <c r="T350" s="1182"/>
      <c r="U350" s="1182"/>
      <c r="V350" s="1182"/>
      <c r="W350" s="1182"/>
      <c r="X350" s="1182"/>
      <c r="Y350" s="1182"/>
    </row>
    <row r="351" spans="1:25" x14ac:dyDescent="0.2">
      <c r="A351" s="1763"/>
      <c r="B351" s="1763"/>
      <c r="C351" s="1763"/>
      <c r="D351" s="1763"/>
      <c r="E351" s="1181"/>
      <c r="R351" s="1182"/>
      <c r="S351" s="1182"/>
      <c r="T351" s="1182"/>
      <c r="U351" s="1182"/>
      <c r="V351" s="1182"/>
      <c r="W351" s="1182"/>
      <c r="X351" s="1182"/>
      <c r="Y351" s="1182"/>
    </row>
    <row r="352" spans="1:25" x14ac:dyDescent="0.2">
      <c r="A352" s="1763"/>
      <c r="B352" s="1763"/>
      <c r="C352" s="1763"/>
      <c r="D352" s="1763"/>
      <c r="E352" s="1181"/>
      <c r="R352" s="1182"/>
      <c r="S352" s="1182"/>
      <c r="T352" s="1182"/>
      <c r="U352" s="1182"/>
      <c r="V352" s="1182"/>
      <c r="W352" s="1182"/>
      <c r="X352" s="1182"/>
      <c r="Y352" s="1182"/>
    </row>
    <row r="353" spans="1:25" x14ac:dyDescent="0.2">
      <c r="A353" s="1763"/>
      <c r="B353" s="1763"/>
      <c r="C353" s="1763"/>
      <c r="D353" s="1763"/>
      <c r="E353" s="1181"/>
      <c r="R353" s="1182"/>
      <c r="S353" s="1182"/>
      <c r="T353" s="1182"/>
      <c r="U353" s="1182"/>
      <c r="V353" s="1182"/>
      <c r="W353" s="1182"/>
      <c r="X353" s="1182"/>
      <c r="Y353" s="1182"/>
    </row>
    <row r="354" spans="1:25" x14ac:dyDescent="0.2">
      <c r="A354" s="1763"/>
      <c r="B354" s="1763"/>
      <c r="C354" s="1763"/>
      <c r="D354" s="1763"/>
      <c r="E354" s="1181"/>
      <c r="R354" s="1182"/>
      <c r="S354" s="1182"/>
      <c r="T354" s="1182"/>
      <c r="U354" s="1182"/>
      <c r="V354" s="1182"/>
      <c r="W354" s="1182"/>
      <c r="X354" s="1182"/>
      <c r="Y354" s="1182"/>
    </row>
    <row r="355" spans="1:25" x14ac:dyDescent="0.2">
      <c r="A355" s="1763"/>
      <c r="B355" s="1763"/>
      <c r="C355" s="1763"/>
      <c r="D355" s="1763"/>
      <c r="E355" s="1181"/>
      <c r="R355" s="1182"/>
      <c r="S355" s="1182"/>
      <c r="T355" s="1182"/>
      <c r="U355" s="1182"/>
      <c r="V355" s="1182"/>
      <c r="W355" s="1182"/>
      <c r="X355" s="1182"/>
      <c r="Y355" s="1182"/>
    </row>
    <row r="356" spans="1:25" x14ac:dyDescent="0.2">
      <c r="A356" s="1763"/>
      <c r="B356" s="1763"/>
      <c r="C356" s="1763"/>
      <c r="D356" s="1763"/>
      <c r="E356" s="1181"/>
      <c r="R356" s="1182"/>
      <c r="S356" s="1182"/>
      <c r="T356" s="1182"/>
      <c r="U356" s="1182"/>
      <c r="V356" s="1182"/>
      <c r="W356" s="1182"/>
      <c r="X356" s="1182"/>
      <c r="Y356" s="1182"/>
    </row>
    <row r="357" spans="1:25" x14ac:dyDescent="0.2">
      <c r="A357" s="1763"/>
      <c r="B357" s="1763"/>
      <c r="C357" s="1763"/>
      <c r="D357" s="1763"/>
      <c r="E357" s="1181"/>
      <c r="R357" s="1182"/>
      <c r="S357" s="1182"/>
      <c r="T357" s="1182"/>
      <c r="U357" s="1182"/>
      <c r="V357" s="1182"/>
      <c r="W357" s="1182"/>
      <c r="X357" s="1182"/>
      <c r="Y357" s="1182"/>
    </row>
    <row r="358" spans="1:25" x14ac:dyDescent="0.2">
      <c r="A358" s="1763"/>
      <c r="B358" s="1763"/>
      <c r="C358" s="1763"/>
      <c r="D358" s="1763"/>
      <c r="E358" s="1181"/>
      <c r="R358" s="1182"/>
      <c r="S358" s="1182"/>
      <c r="T358" s="1182"/>
      <c r="U358" s="1182"/>
      <c r="V358" s="1182"/>
      <c r="W358" s="1182"/>
      <c r="X358" s="1182"/>
      <c r="Y358" s="1182"/>
    </row>
    <row r="359" spans="1:25" x14ac:dyDescent="0.2">
      <c r="A359" s="1763"/>
      <c r="B359" s="1763"/>
      <c r="C359" s="1763"/>
      <c r="D359" s="1763"/>
      <c r="E359" s="1181"/>
      <c r="R359" s="1182"/>
      <c r="S359" s="1182"/>
      <c r="T359" s="1182"/>
      <c r="U359" s="1182"/>
      <c r="V359" s="1182"/>
      <c r="W359" s="1182"/>
      <c r="X359" s="1182"/>
      <c r="Y359" s="1182"/>
    </row>
    <row r="360" spans="1:25" x14ac:dyDescent="0.2">
      <c r="A360" s="1763"/>
      <c r="B360" s="1763"/>
      <c r="C360" s="1763"/>
      <c r="D360" s="1763"/>
      <c r="E360" s="1181"/>
      <c r="R360" s="1182"/>
      <c r="S360" s="1182"/>
      <c r="T360" s="1182"/>
      <c r="U360" s="1182"/>
      <c r="V360" s="1182"/>
      <c r="W360" s="1182"/>
      <c r="X360" s="1182"/>
      <c r="Y360" s="1182"/>
    </row>
    <row r="361" spans="1:25" x14ac:dyDescent="0.2">
      <c r="A361" s="1763"/>
      <c r="B361" s="1763"/>
      <c r="C361" s="1763"/>
      <c r="D361" s="1763"/>
      <c r="E361" s="1181"/>
      <c r="R361" s="1182"/>
      <c r="S361" s="1182"/>
      <c r="T361" s="1182"/>
      <c r="U361" s="1182"/>
      <c r="V361" s="1182"/>
      <c r="W361" s="1182"/>
      <c r="X361" s="1182"/>
      <c r="Y361" s="1182"/>
    </row>
    <row r="362" spans="1:25" x14ac:dyDescent="0.2">
      <c r="A362" s="1763"/>
      <c r="B362" s="1763"/>
      <c r="C362" s="1763"/>
      <c r="D362" s="1763"/>
      <c r="E362" s="1181"/>
      <c r="R362" s="1182"/>
      <c r="S362" s="1182"/>
      <c r="T362" s="1182"/>
      <c r="U362" s="1182"/>
      <c r="V362" s="1182"/>
      <c r="W362" s="1182"/>
      <c r="X362" s="1182"/>
      <c r="Y362" s="1182"/>
    </row>
    <row r="363" spans="1:25" x14ac:dyDescent="0.2">
      <c r="A363" s="1763"/>
      <c r="B363" s="1763"/>
      <c r="C363" s="1763"/>
      <c r="D363" s="1763"/>
      <c r="E363" s="1181"/>
      <c r="R363" s="1182"/>
      <c r="S363" s="1182"/>
      <c r="T363" s="1182"/>
      <c r="U363" s="1182"/>
      <c r="V363" s="1182"/>
      <c r="W363" s="1182"/>
      <c r="X363" s="1182"/>
      <c r="Y363" s="1182"/>
    </row>
    <row r="364" spans="1:25" x14ac:dyDescent="0.2">
      <c r="A364" s="1763"/>
      <c r="B364" s="1763"/>
      <c r="C364" s="1763"/>
      <c r="D364" s="1763"/>
      <c r="E364" s="1181"/>
      <c r="R364" s="1182"/>
      <c r="S364" s="1182"/>
      <c r="T364" s="1182"/>
      <c r="U364" s="1182"/>
      <c r="V364" s="1182"/>
      <c r="W364" s="1182"/>
      <c r="X364" s="1182"/>
      <c r="Y364" s="1182"/>
    </row>
    <row r="365" spans="1:25" x14ac:dyDescent="0.2">
      <c r="A365" s="1763"/>
      <c r="B365" s="1763"/>
      <c r="C365" s="1763"/>
      <c r="D365" s="1763"/>
      <c r="E365" s="1181"/>
      <c r="R365" s="1182"/>
      <c r="S365" s="1182"/>
      <c r="T365" s="1182"/>
      <c r="U365" s="1182"/>
      <c r="V365" s="1182"/>
      <c r="W365" s="1182"/>
      <c r="X365" s="1182"/>
      <c r="Y365" s="1182"/>
    </row>
    <row r="366" spans="1:25" x14ac:dyDescent="0.2">
      <c r="A366" s="1763"/>
      <c r="B366" s="1763"/>
      <c r="C366" s="1763"/>
      <c r="D366" s="1763"/>
      <c r="E366" s="1181"/>
      <c r="R366" s="1182"/>
      <c r="S366" s="1182"/>
      <c r="T366" s="1182"/>
      <c r="U366" s="1182"/>
      <c r="V366" s="1182"/>
      <c r="W366" s="1182"/>
      <c r="X366" s="1182"/>
      <c r="Y366" s="1182"/>
    </row>
    <row r="367" spans="1:25" x14ac:dyDescent="0.2">
      <c r="A367" s="1763"/>
      <c r="B367" s="1763"/>
      <c r="C367" s="1763"/>
      <c r="D367" s="1763"/>
      <c r="E367" s="1181"/>
      <c r="R367" s="1182"/>
      <c r="S367" s="1182"/>
      <c r="T367" s="1182"/>
      <c r="U367" s="1182"/>
      <c r="V367" s="1182"/>
      <c r="W367" s="1182"/>
      <c r="X367" s="1182"/>
      <c r="Y367" s="1182"/>
    </row>
    <row r="368" spans="1:25" x14ac:dyDescent="0.2">
      <c r="A368" s="1763"/>
      <c r="B368" s="1763"/>
      <c r="C368" s="1763"/>
      <c r="D368" s="1763"/>
      <c r="E368" s="1181"/>
      <c r="R368" s="1182"/>
      <c r="S368" s="1182"/>
      <c r="T368" s="1182"/>
      <c r="U368" s="1182"/>
      <c r="V368" s="1182"/>
      <c r="W368" s="1182"/>
      <c r="X368" s="1182"/>
      <c r="Y368" s="1182"/>
    </row>
    <row r="369" spans="1:25" x14ac:dyDescent="0.2">
      <c r="A369" s="1763"/>
      <c r="B369" s="1763"/>
      <c r="C369" s="1763"/>
      <c r="D369" s="1763"/>
      <c r="E369" s="1181"/>
      <c r="R369" s="1182"/>
      <c r="S369" s="1182"/>
      <c r="T369" s="1182"/>
      <c r="U369" s="1182"/>
      <c r="V369" s="1182"/>
      <c r="W369" s="1182"/>
      <c r="X369" s="1182"/>
      <c r="Y369" s="1182"/>
    </row>
    <row r="370" spans="1:25" x14ac:dyDescent="0.2">
      <c r="A370" s="1763"/>
      <c r="B370" s="1763"/>
      <c r="C370" s="1763"/>
      <c r="D370" s="1763"/>
      <c r="E370" s="1181"/>
      <c r="R370" s="1182"/>
      <c r="S370" s="1182"/>
      <c r="T370" s="1182"/>
      <c r="U370" s="1182"/>
      <c r="V370" s="1182"/>
      <c r="W370" s="1182"/>
      <c r="X370" s="1182"/>
      <c r="Y370" s="1182"/>
    </row>
    <row r="371" spans="1:25" x14ac:dyDescent="0.2">
      <c r="A371" s="1763"/>
      <c r="B371" s="1763"/>
      <c r="C371" s="1763"/>
      <c r="D371" s="1763"/>
      <c r="E371" s="1181"/>
      <c r="R371" s="1182"/>
      <c r="S371" s="1182"/>
      <c r="T371" s="1182"/>
      <c r="U371" s="1182"/>
      <c r="V371" s="1182"/>
      <c r="W371" s="1182"/>
      <c r="X371" s="1182"/>
      <c r="Y371" s="1182"/>
    </row>
    <row r="372" spans="1:25" x14ac:dyDescent="0.2">
      <c r="A372" s="1763"/>
      <c r="B372" s="1763"/>
      <c r="C372" s="1763"/>
      <c r="D372" s="1763"/>
      <c r="E372" s="1181"/>
      <c r="R372" s="1182"/>
      <c r="S372" s="1182"/>
      <c r="T372" s="1182"/>
      <c r="U372" s="1182"/>
      <c r="V372" s="1182"/>
      <c r="W372" s="1182"/>
      <c r="X372" s="1182"/>
      <c r="Y372" s="1182"/>
    </row>
    <row r="373" spans="1:25" x14ac:dyDescent="0.2">
      <c r="A373" s="1763"/>
      <c r="B373" s="1763"/>
      <c r="C373" s="1763"/>
      <c r="D373" s="1763"/>
      <c r="E373" s="1181"/>
      <c r="R373" s="1182"/>
      <c r="S373" s="1182"/>
      <c r="T373" s="1182"/>
      <c r="U373" s="1182"/>
      <c r="V373" s="1182"/>
      <c r="W373" s="1182"/>
      <c r="X373" s="1182"/>
      <c r="Y373" s="1182"/>
    </row>
    <row r="374" spans="1:25" x14ac:dyDescent="0.2">
      <c r="A374" s="1763"/>
      <c r="B374" s="1763"/>
      <c r="C374" s="1763"/>
      <c r="D374" s="1763"/>
      <c r="E374" s="1181"/>
      <c r="R374" s="1182"/>
      <c r="S374" s="1182"/>
      <c r="T374" s="1182"/>
      <c r="U374" s="1182"/>
      <c r="V374" s="1182"/>
      <c r="W374" s="1182"/>
      <c r="X374" s="1182"/>
      <c r="Y374" s="1182"/>
    </row>
    <row r="375" spans="1:25" x14ac:dyDescent="0.2">
      <c r="A375" s="1763"/>
      <c r="B375" s="1763"/>
      <c r="C375" s="1763"/>
      <c r="D375" s="1763"/>
      <c r="E375" s="1181"/>
      <c r="R375" s="1182"/>
      <c r="S375" s="1182"/>
      <c r="T375" s="1182"/>
      <c r="U375" s="1182"/>
      <c r="V375" s="1182"/>
      <c r="W375" s="1182"/>
      <c r="X375" s="1182"/>
      <c r="Y375" s="1182"/>
    </row>
    <row r="376" spans="1:25" x14ac:dyDescent="0.2">
      <c r="A376" s="1763"/>
      <c r="B376" s="1763"/>
      <c r="C376" s="1763"/>
      <c r="D376" s="1763"/>
      <c r="E376" s="1181"/>
      <c r="R376" s="1182"/>
      <c r="S376" s="1182"/>
      <c r="T376" s="1182"/>
      <c r="U376" s="1182"/>
      <c r="V376" s="1182"/>
      <c r="W376" s="1182"/>
      <c r="X376" s="1182"/>
      <c r="Y376" s="1182"/>
    </row>
    <row r="377" spans="1:25" x14ac:dyDescent="0.2">
      <c r="A377" s="1763"/>
      <c r="B377" s="1763"/>
      <c r="C377" s="1763"/>
      <c r="D377" s="1763"/>
      <c r="E377" s="1181"/>
      <c r="R377" s="1182"/>
      <c r="S377" s="1182"/>
      <c r="T377" s="1182"/>
      <c r="U377" s="1182"/>
      <c r="V377" s="1182"/>
      <c r="W377" s="1182"/>
      <c r="X377" s="1182"/>
      <c r="Y377" s="1182"/>
    </row>
    <row r="378" spans="1:25" x14ac:dyDescent="0.2">
      <c r="A378" s="1763"/>
      <c r="B378" s="1763"/>
      <c r="C378" s="1763"/>
      <c r="D378" s="1763"/>
      <c r="E378" s="1181"/>
      <c r="R378" s="1182"/>
      <c r="S378" s="1182"/>
      <c r="T378" s="1182"/>
      <c r="U378" s="1182"/>
      <c r="V378" s="1182"/>
      <c r="W378" s="1182"/>
      <c r="X378" s="1182"/>
      <c r="Y378" s="1182"/>
    </row>
    <row r="379" spans="1:25" x14ac:dyDescent="0.2">
      <c r="A379" s="1763"/>
      <c r="B379" s="1763"/>
      <c r="C379" s="1763"/>
      <c r="D379" s="1763"/>
      <c r="E379" s="1181"/>
      <c r="R379" s="1182"/>
      <c r="S379" s="1182"/>
      <c r="T379" s="1182"/>
      <c r="U379" s="1182"/>
      <c r="V379" s="1182"/>
      <c r="W379" s="1182"/>
      <c r="X379" s="1182"/>
      <c r="Y379" s="1182"/>
    </row>
    <row r="380" spans="1:25" x14ac:dyDescent="0.2">
      <c r="A380" s="1763"/>
      <c r="B380" s="1763"/>
      <c r="C380" s="1763"/>
      <c r="D380" s="1763"/>
      <c r="E380" s="1181"/>
      <c r="R380" s="1182"/>
      <c r="S380" s="1182"/>
      <c r="T380" s="1182"/>
      <c r="U380" s="1182"/>
      <c r="V380" s="1182"/>
      <c r="W380" s="1182"/>
      <c r="X380" s="1182"/>
      <c r="Y380" s="1182"/>
    </row>
    <row r="381" spans="1:25" x14ac:dyDescent="0.2">
      <c r="A381" s="1763"/>
      <c r="B381" s="1763"/>
      <c r="C381" s="1763"/>
      <c r="D381" s="1763"/>
      <c r="E381" s="1181"/>
      <c r="R381" s="1182"/>
      <c r="S381" s="1182"/>
      <c r="T381" s="1182"/>
      <c r="U381" s="1182"/>
      <c r="V381" s="1182"/>
      <c r="W381" s="1182"/>
      <c r="X381" s="1182"/>
      <c r="Y381" s="1182"/>
    </row>
    <row r="382" spans="1:25" x14ac:dyDescent="0.2">
      <c r="A382" s="1763"/>
      <c r="B382" s="1763"/>
      <c r="C382" s="1763"/>
      <c r="D382" s="1763"/>
      <c r="E382" s="1181"/>
      <c r="R382" s="1182"/>
      <c r="S382" s="1182"/>
      <c r="T382" s="1182"/>
      <c r="U382" s="1182"/>
      <c r="V382" s="1182"/>
      <c r="W382" s="1182"/>
      <c r="X382" s="1182"/>
      <c r="Y382" s="1182"/>
    </row>
    <row r="383" spans="1:25" x14ac:dyDescent="0.2">
      <c r="A383" s="1763"/>
      <c r="B383" s="1763"/>
      <c r="C383" s="1763"/>
      <c r="D383" s="1763"/>
      <c r="E383" s="1181"/>
      <c r="R383" s="1182"/>
      <c r="S383" s="1182"/>
      <c r="T383" s="1182"/>
      <c r="U383" s="1182"/>
      <c r="V383" s="1182"/>
      <c r="W383" s="1182"/>
      <c r="X383" s="1182"/>
      <c r="Y383" s="1182"/>
    </row>
    <row r="384" spans="1:25" x14ac:dyDescent="0.2">
      <c r="A384" s="1763"/>
      <c r="B384" s="1763"/>
      <c r="C384" s="1763"/>
      <c r="D384" s="1763"/>
      <c r="E384" s="1181"/>
      <c r="R384" s="1182"/>
      <c r="S384" s="1182"/>
      <c r="T384" s="1182"/>
      <c r="U384" s="1182"/>
      <c r="V384" s="1182"/>
      <c r="W384" s="1182"/>
      <c r="X384" s="1182"/>
      <c r="Y384" s="1182"/>
    </row>
    <row r="385" spans="1:25" x14ac:dyDescent="0.2">
      <c r="A385" s="1763"/>
      <c r="B385" s="1763"/>
      <c r="C385" s="1763"/>
      <c r="D385" s="1763"/>
      <c r="E385" s="1181"/>
      <c r="R385" s="1182"/>
      <c r="S385" s="1182"/>
      <c r="T385" s="1182"/>
      <c r="U385" s="1182"/>
      <c r="V385" s="1182"/>
      <c r="W385" s="1182"/>
      <c r="X385" s="1182"/>
      <c r="Y385" s="1182"/>
    </row>
    <row r="386" spans="1:25" x14ac:dyDescent="0.2">
      <c r="A386" s="1763"/>
      <c r="B386" s="1763"/>
      <c r="C386" s="1763"/>
      <c r="D386" s="1763"/>
      <c r="E386" s="1181"/>
      <c r="R386" s="1182"/>
      <c r="S386" s="1182"/>
      <c r="T386" s="1182"/>
      <c r="U386" s="1182"/>
      <c r="V386" s="1182"/>
      <c r="W386" s="1182"/>
      <c r="X386" s="1182"/>
      <c r="Y386" s="1182"/>
    </row>
    <row r="387" spans="1:25" x14ac:dyDescent="0.2">
      <c r="A387" s="1763"/>
      <c r="B387" s="1763"/>
      <c r="C387" s="1763"/>
      <c r="D387" s="1763"/>
      <c r="E387" s="1181"/>
      <c r="R387" s="1182"/>
      <c r="S387" s="1182"/>
      <c r="T387" s="1182"/>
      <c r="U387" s="1182"/>
      <c r="V387" s="1182"/>
      <c r="W387" s="1182"/>
      <c r="X387" s="1182"/>
      <c r="Y387" s="1182"/>
    </row>
    <row r="388" spans="1:25" x14ac:dyDescent="0.2">
      <c r="A388" s="1763"/>
      <c r="B388" s="1763"/>
      <c r="C388" s="1763"/>
      <c r="D388" s="1763"/>
      <c r="E388" s="1181"/>
      <c r="R388" s="1182"/>
      <c r="S388" s="1182"/>
      <c r="T388" s="1182"/>
      <c r="U388" s="1182"/>
      <c r="V388" s="1182"/>
      <c r="W388" s="1182"/>
      <c r="X388" s="1182"/>
      <c r="Y388" s="1182"/>
    </row>
    <row r="389" spans="1:25" x14ac:dyDescent="0.2">
      <c r="A389" s="1763"/>
      <c r="B389" s="1763"/>
      <c r="C389" s="1763"/>
      <c r="D389" s="1763"/>
      <c r="E389" s="1181"/>
      <c r="R389" s="1182"/>
      <c r="S389" s="1182"/>
      <c r="T389" s="1182"/>
      <c r="U389" s="1182"/>
      <c r="V389" s="1182"/>
      <c r="W389" s="1182"/>
      <c r="X389" s="1182"/>
      <c r="Y389" s="1182"/>
    </row>
    <row r="390" spans="1:25" x14ac:dyDescent="0.2">
      <c r="A390" s="1763"/>
      <c r="B390" s="1763"/>
      <c r="C390" s="1763"/>
      <c r="D390" s="1763"/>
      <c r="E390" s="1181"/>
      <c r="R390" s="1182"/>
      <c r="S390" s="1182"/>
      <c r="T390" s="1182"/>
      <c r="U390" s="1182"/>
      <c r="V390" s="1182"/>
      <c r="W390" s="1182"/>
      <c r="X390" s="1182"/>
      <c r="Y390" s="1182"/>
    </row>
    <row r="391" spans="1:25" x14ac:dyDescent="0.2">
      <c r="A391" s="1763"/>
      <c r="B391" s="1763"/>
      <c r="C391" s="1763"/>
      <c r="D391" s="1763"/>
      <c r="E391" s="1181"/>
      <c r="R391" s="1182"/>
      <c r="S391" s="1182"/>
      <c r="T391" s="1182"/>
      <c r="U391" s="1182"/>
      <c r="V391" s="1182"/>
      <c r="W391" s="1182"/>
      <c r="X391" s="1182"/>
      <c r="Y391" s="1182"/>
    </row>
    <row r="392" spans="1:25" x14ac:dyDescent="0.2">
      <c r="A392" s="1763"/>
      <c r="B392" s="1763"/>
      <c r="C392" s="1763"/>
      <c r="D392" s="1763"/>
      <c r="E392" s="1181"/>
      <c r="R392" s="1182"/>
      <c r="S392" s="1182"/>
      <c r="T392" s="1182"/>
      <c r="U392" s="1182"/>
      <c r="V392" s="1182"/>
      <c r="W392" s="1182"/>
      <c r="X392" s="1182"/>
      <c r="Y392" s="1182"/>
    </row>
    <row r="393" spans="1:25" x14ac:dyDescent="0.2">
      <c r="A393" s="1763"/>
      <c r="B393" s="1763"/>
      <c r="C393" s="1763"/>
      <c r="D393" s="1763"/>
      <c r="E393" s="1181"/>
      <c r="R393" s="1182"/>
      <c r="S393" s="1182"/>
      <c r="T393" s="1182"/>
      <c r="U393" s="1182"/>
      <c r="V393" s="1182"/>
      <c r="W393" s="1182"/>
      <c r="X393" s="1182"/>
      <c r="Y393" s="1182"/>
    </row>
    <row r="394" spans="1:25" x14ac:dyDescent="0.2">
      <c r="A394" s="1763"/>
      <c r="B394" s="1763"/>
      <c r="C394" s="1763"/>
      <c r="D394" s="1763"/>
      <c r="E394" s="1181"/>
      <c r="R394" s="1182"/>
      <c r="S394" s="1182"/>
      <c r="T394" s="1182"/>
      <c r="U394" s="1182"/>
      <c r="V394" s="1182"/>
      <c r="W394" s="1182"/>
      <c r="X394" s="1182"/>
      <c r="Y394" s="1182"/>
    </row>
    <row r="395" spans="1:25" x14ac:dyDescent="0.2">
      <c r="A395" s="1763"/>
      <c r="B395" s="1763"/>
      <c r="C395" s="1763"/>
      <c r="D395" s="1763"/>
      <c r="E395" s="1181"/>
      <c r="R395" s="1182"/>
      <c r="S395" s="1182"/>
      <c r="T395" s="1182"/>
      <c r="U395" s="1182"/>
      <c r="V395" s="1182"/>
      <c r="W395" s="1182"/>
      <c r="X395" s="1182"/>
      <c r="Y395" s="1182"/>
    </row>
    <row r="396" spans="1:25" x14ac:dyDescent="0.2">
      <c r="A396" s="1763"/>
      <c r="B396" s="1763"/>
      <c r="C396" s="1763"/>
      <c r="D396" s="1763"/>
      <c r="E396" s="1181"/>
      <c r="R396" s="1182"/>
      <c r="S396" s="1182"/>
      <c r="T396" s="1182"/>
      <c r="U396" s="1182"/>
      <c r="V396" s="1182"/>
      <c r="W396" s="1182"/>
      <c r="X396" s="1182"/>
      <c r="Y396" s="1182"/>
    </row>
    <row r="397" spans="1:25" x14ac:dyDescent="0.2">
      <c r="A397" s="1763"/>
      <c r="B397" s="1763"/>
      <c r="C397" s="1763"/>
      <c r="D397" s="1763"/>
      <c r="E397" s="1181"/>
      <c r="R397" s="1182"/>
      <c r="S397" s="1182"/>
      <c r="T397" s="1182"/>
      <c r="U397" s="1182"/>
      <c r="V397" s="1182"/>
      <c r="W397" s="1182"/>
      <c r="X397" s="1182"/>
      <c r="Y397" s="1182"/>
    </row>
    <row r="398" spans="1:25" x14ac:dyDescent="0.2">
      <c r="A398" s="1763"/>
      <c r="B398" s="1763"/>
      <c r="C398" s="1763"/>
      <c r="D398" s="1763"/>
      <c r="E398" s="1181"/>
      <c r="R398" s="1182"/>
      <c r="S398" s="1182"/>
      <c r="T398" s="1182"/>
      <c r="U398" s="1182"/>
      <c r="V398" s="1182"/>
      <c r="W398" s="1182"/>
      <c r="X398" s="1182"/>
      <c r="Y398" s="1182"/>
    </row>
    <row r="399" spans="1:25" x14ac:dyDescent="0.2">
      <c r="A399" s="1763"/>
      <c r="B399" s="1763"/>
      <c r="C399" s="1763"/>
      <c r="D399" s="1763"/>
      <c r="E399" s="1181"/>
      <c r="R399" s="1182"/>
      <c r="S399" s="1182"/>
      <c r="T399" s="1182"/>
      <c r="U399" s="1182"/>
      <c r="V399" s="1182"/>
      <c r="W399" s="1182"/>
      <c r="X399" s="1182"/>
      <c r="Y399" s="1182"/>
    </row>
    <row r="400" spans="1:25" x14ac:dyDescent="0.2">
      <c r="A400" s="1763"/>
      <c r="B400" s="1763"/>
      <c r="C400" s="1763"/>
      <c r="D400" s="1763"/>
      <c r="E400" s="1181"/>
      <c r="R400" s="1182"/>
      <c r="S400" s="1182"/>
      <c r="T400" s="1182"/>
      <c r="U400" s="1182"/>
      <c r="V400" s="1182"/>
      <c r="W400" s="1182"/>
      <c r="X400" s="1182"/>
      <c r="Y400" s="1182"/>
    </row>
    <row r="401" spans="1:25" x14ac:dyDescent="0.2">
      <c r="A401" s="1763"/>
      <c r="B401" s="1763"/>
      <c r="C401" s="1763"/>
      <c r="D401" s="1763"/>
      <c r="E401" s="1181"/>
      <c r="R401" s="1182"/>
      <c r="S401" s="1182"/>
      <c r="T401" s="1182"/>
      <c r="U401" s="1182"/>
      <c r="V401" s="1182"/>
      <c r="W401" s="1182"/>
      <c r="X401" s="1182"/>
      <c r="Y401" s="1182"/>
    </row>
    <row r="402" spans="1:25" x14ac:dyDescent="0.2">
      <c r="A402" s="1763"/>
      <c r="B402" s="1763"/>
      <c r="C402" s="1763"/>
      <c r="D402" s="1763"/>
      <c r="E402" s="1181"/>
      <c r="R402" s="1182"/>
      <c r="S402" s="1182"/>
      <c r="T402" s="1182"/>
      <c r="U402" s="1182"/>
      <c r="V402" s="1182"/>
      <c r="W402" s="1182"/>
      <c r="X402" s="1182"/>
      <c r="Y402" s="1182"/>
    </row>
    <row r="403" spans="1:25" x14ac:dyDescent="0.2">
      <c r="A403" s="1763"/>
      <c r="B403" s="1763"/>
      <c r="C403" s="1763"/>
      <c r="D403" s="1763"/>
      <c r="E403" s="1181"/>
      <c r="R403" s="1182"/>
      <c r="S403" s="1182"/>
      <c r="T403" s="1182"/>
      <c r="U403" s="1182"/>
      <c r="V403" s="1182"/>
      <c r="W403" s="1182"/>
      <c r="X403" s="1182"/>
      <c r="Y403" s="1182"/>
    </row>
    <row r="404" spans="1:25" x14ac:dyDescent="0.2">
      <c r="A404" s="1763"/>
      <c r="B404" s="1763"/>
      <c r="C404" s="1763"/>
      <c r="D404" s="1763"/>
      <c r="E404" s="1181"/>
      <c r="R404" s="1182"/>
      <c r="S404" s="1182"/>
      <c r="T404" s="1182"/>
      <c r="U404" s="1182"/>
      <c r="V404" s="1182"/>
      <c r="W404" s="1182"/>
      <c r="X404" s="1182"/>
      <c r="Y404" s="1182"/>
    </row>
    <row r="405" spans="1:25" x14ac:dyDescent="0.2">
      <c r="A405" s="1763"/>
      <c r="B405" s="1763"/>
      <c r="C405" s="1763"/>
      <c r="D405" s="1763"/>
      <c r="E405" s="1181"/>
      <c r="R405" s="1182"/>
      <c r="S405" s="1182"/>
      <c r="T405" s="1182"/>
      <c r="U405" s="1182"/>
      <c r="V405" s="1182"/>
      <c r="W405" s="1182"/>
      <c r="X405" s="1182"/>
      <c r="Y405" s="1182"/>
    </row>
    <row r="406" spans="1:25" x14ac:dyDescent="0.2">
      <c r="A406" s="1763"/>
      <c r="B406" s="1763"/>
      <c r="C406" s="1763"/>
      <c r="D406" s="1763"/>
      <c r="E406" s="1181"/>
      <c r="R406" s="1182"/>
      <c r="S406" s="1182"/>
      <c r="T406" s="1182"/>
      <c r="U406" s="1182"/>
      <c r="V406" s="1182"/>
      <c r="W406" s="1182"/>
      <c r="X406" s="1182"/>
      <c r="Y406" s="1182"/>
    </row>
    <row r="407" spans="1:25" x14ac:dyDescent="0.2">
      <c r="A407" s="1763"/>
      <c r="B407" s="1763"/>
      <c r="C407" s="1763"/>
      <c r="D407" s="1763"/>
      <c r="E407" s="1181"/>
      <c r="R407" s="1182"/>
      <c r="S407" s="1182"/>
      <c r="T407" s="1182"/>
      <c r="U407" s="1182"/>
      <c r="V407" s="1182"/>
      <c r="W407" s="1182"/>
      <c r="X407" s="1182"/>
      <c r="Y407" s="1182"/>
    </row>
    <row r="408" spans="1:25" x14ac:dyDescent="0.2">
      <c r="A408" s="1763"/>
      <c r="B408" s="1763"/>
      <c r="C408" s="1763"/>
      <c r="D408" s="1763"/>
      <c r="E408" s="1181"/>
      <c r="R408" s="1182"/>
      <c r="S408" s="1182"/>
      <c r="T408" s="1182"/>
      <c r="U408" s="1182"/>
      <c r="V408" s="1182"/>
      <c r="W408" s="1182"/>
      <c r="X408" s="1182"/>
      <c r="Y408" s="1182"/>
    </row>
    <row r="409" spans="1:25" x14ac:dyDescent="0.2">
      <c r="A409" s="1763"/>
      <c r="B409" s="1763"/>
      <c r="C409" s="1763"/>
      <c r="D409" s="1763"/>
      <c r="E409" s="1181"/>
      <c r="R409" s="1182"/>
      <c r="S409" s="1182"/>
      <c r="T409" s="1182"/>
      <c r="U409" s="1182"/>
      <c r="V409" s="1182"/>
      <c r="W409" s="1182"/>
      <c r="X409" s="1182"/>
      <c r="Y409" s="1182"/>
    </row>
    <row r="410" spans="1:25" x14ac:dyDescent="0.2">
      <c r="A410" s="1763"/>
      <c r="B410" s="1763"/>
      <c r="C410" s="1763"/>
      <c r="D410" s="1763"/>
      <c r="E410" s="1181"/>
      <c r="R410" s="1182"/>
      <c r="S410" s="1182"/>
      <c r="T410" s="1182"/>
      <c r="U410" s="1182"/>
      <c r="V410" s="1182"/>
      <c r="W410" s="1182"/>
      <c r="X410" s="1182"/>
      <c r="Y410" s="1182"/>
    </row>
    <row r="411" spans="1:25" x14ac:dyDescent="0.2">
      <c r="A411" s="1763"/>
      <c r="B411" s="1763"/>
      <c r="C411" s="1763"/>
      <c r="D411" s="1763"/>
      <c r="E411" s="1181"/>
      <c r="R411" s="1182"/>
      <c r="S411" s="1182"/>
      <c r="T411" s="1182"/>
      <c r="U411" s="1182"/>
      <c r="V411" s="1182"/>
      <c r="W411" s="1182"/>
      <c r="X411" s="1182"/>
      <c r="Y411" s="1182"/>
    </row>
    <row r="412" spans="1:25" x14ac:dyDescent="0.2">
      <c r="A412" s="1763"/>
      <c r="B412" s="1763"/>
      <c r="C412" s="1763"/>
      <c r="D412" s="1763"/>
      <c r="E412" s="1181"/>
      <c r="R412" s="1182"/>
      <c r="S412" s="1182"/>
      <c r="T412" s="1182"/>
      <c r="U412" s="1182"/>
      <c r="V412" s="1182"/>
      <c r="W412" s="1182"/>
      <c r="X412" s="1182"/>
      <c r="Y412" s="1182"/>
    </row>
    <row r="413" spans="1:25" x14ac:dyDescent="0.2">
      <c r="A413" s="1763"/>
      <c r="B413" s="1763"/>
      <c r="C413" s="1763"/>
      <c r="D413" s="1763"/>
      <c r="E413" s="1181"/>
      <c r="R413" s="1182"/>
      <c r="S413" s="1182"/>
      <c r="T413" s="1182"/>
      <c r="U413" s="1182"/>
      <c r="V413" s="1182"/>
      <c r="W413" s="1182"/>
      <c r="X413" s="1182"/>
      <c r="Y413" s="1182"/>
    </row>
    <row r="414" spans="1:25" x14ac:dyDescent="0.2">
      <c r="A414" s="1763"/>
      <c r="B414" s="1763"/>
      <c r="C414" s="1763"/>
      <c r="D414" s="1763"/>
      <c r="E414" s="1181"/>
      <c r="R414" s="1182"/>
      <c r="S414" s="1182"/>
      <c r="T414" s="1182"/>
      <c r="U414" s="1182"/>
      <c r="V414" s="1182"/>
      <c r="W414" s="1182"/>
      <c r="X414" s="1182"/>
      <c r="Y414" s="1182"/>
    </row>
    <row r="415" spans="1:25" x14ac:dyDescent="0.2">
      <c r="A415" s="1763"/>
      <c r="B415" s="1763"/>
      <c r="C415" s="1763"/>
      <c r="D415" s="1763"/>
      <c r="E415" s="1181"/>
      <c r="R415" s="1182"/>
      <c r="S415" s="1182"/>
      <c r="T415" s="1182"/>
      <c r="U415" s="1182"/>
      <c r="V415" s="1182"/>
      <c r="W415" s="1182"/>
      <c r="X415" s="1182"/>
      <c r="Y415" s="1182"/>
    </row>
    <row r="416" spans="1:25" x14ac:dyDescent="0.2">
      <c r="A416" s="1763"/>
      <c r="B416" s="1763"/>
      <c r="C416" s="1763"/>
      <c r="D416" s="1763"/>
      <c r="E416" s="1181"/>
      <c r="R416" s="1182"/>
      <c r="S416" s="1182"/>
      <c r="T416" s="1182"/>
      <c r="U416" s="1182"/>
      <c r="V416" s="1182"/>
      <c r="W416" s="1182"/>
      <c r="X416" s="1182"/>
      <c r="Y416" s="1182"/>
    </row>
    <row r="417" spans="1:25" x14ac:dyDescent="0.2">
      <c r="A417" s="1763"/>
      <c r="B417" s="1763"/>
      <c r="C417" s="1763"/>
      <c r="D417" s="1763"/>
      <c r="E417" s="1181"/>
      <c r="R417" s="1182"/>
      <c r="S417" s="1182"/>
      <c r="T417" s="1182"/>
      <c r="U417" s="1182"/>
      <c r="V417" s="1182"/>
      <c r="W417" s="1182"/>
      <c r="X417" s="1182"/>
      <c r="Y417" s="1182"/>
    </row>
    <row r="418" spans="1:25" x14ac:dyDescent="0.2">
      <c r="A418" s="1763"/>
      <c r="B418" s="1763"/>
      <c r="C418" s="1763"/>
      <c r="D418" s="1763"/>
      <c r="E418" s="1181"/>
      <c r="R418" s="1182"/>
      <c r="S418" s="1182"/>
      <c r="T418" s="1182"/>
      <c r="U418" s="1182"/>
      <c r="V418" s="1182"/>
      <c r="W418" s="1182"/>
      <c r="X418" s="1182"/>
      <c r="Y418" s="1182"/>
    </row>
    <row r="419" spans="1:25" x14ac:dyDescent="0.2">
      <c r="A419" s="1763"/>
      <c r="B419" s="1763"/>
      <c r="C419" s="1763"/>
      <c r="D419" s="1763"/>
      <c r="E419" s="1181"/>
      <c r="R419" s="1182"/>
      <c r="S419" s="1182"/>
      <c r="T419" s="1182"/>
      <c r="U419" s="1182"/>
      <c r="V419" s="1182"/>
      <c r="W419" s="1182"/>
      <c r="X419" s="1182"/>
      <c r="Y419" s="1182"/>
    </row>
    <row r="420" spans="1:25" x14ac:dyDescent="0.2">
      <c r="A420" s="1763"/>
      <c r="B420" s="1763"/>
      <c r="C420" s="1763"/>
      <c r="D420" s="1763"/>
      <c r="E420" s="1181"/>
      <c r="R420" s="1182"/>
      <c r="S420" s="1182"/>
      <c r="T420" s="1182"/>
      <c r="U420" s="1182"/>
      <c r="V420" s="1182"/>
      <c r="W420" s="1182"/>
      <c r="X420" s="1182"/>
      <c r="Y420" s="1182"/>
    </row>
    <row r="421" spans="1:25" x14ac:dyDescent="0.2">
      <c r="A421" s="1763"/>
      <c r="B421" s="1763"/>
      <c r="C421" s="1763"/>
      <c r="D421" s="1763"/>
      <c r="E421" s="1181"/>
      <c r="R421" s="1182"/>
      <c r="S421" s="1182"/>
      <c r="T421" s="1182"/>
      <c r="U421" s="1182"/>
      <c r="V421" s="1182"/>
      <c r="W421" s="1182"/>
      <c r="X421" s="1182"/>
      <c r="Y421" s="1182"/>
    </row>
    <row r="422" spans="1:25" x14ac:dyDescent="0.2">
      <c r="A422" s="1763"/>
      <c r="B422" s="1763"/>
      <c r="C422" s="1763"/>
      <c r="D422" s="1763"/>
      <c r="E422" s="1181"/>
      <c r="R422" s="1182"/>
      <c r="S422" s="1182"/>
      <c r="T422" s="1182"/>
      <c r="U422" s="1182"/>
      <c r="V422" s="1182"/>
      <c r="W422" s="1182"/>
      <c r="X422" s="1182"/>
      <c r="Y422" s="1182"/>
    </row>
    <row r="423" spans="1:25" x14ac:dyDescent="0.2">
      <c r="A423" s="1763"/>
      <c r="B423" s="1763"/>
      <c r="C423" s="1763"/>
      <c r="D423" s="1763"/>
      <c r="E423" s="1181"/>
      <c r="R423" s="1182"/>
      <c r="S423" s="1182"/>
      <c r="T423" s="1182"/>
      <c r="U423" s="1182"/>
      <c r="V423" s="1182"/>
      <c r="W423" s="1182"/>
      <c r="X423" s="1182"/>
      <c r="Y423" s="1182"/>
    </row>
    <row r="424" spans="1:25" x14ac:dyDescent="0.2">
      <c r="A424" s="1763"/>
      <c r="B424" s="1763"/>
      <c r="C424" s="1763"/>
      <c r="D424" s="1763"/>
      <c r="E424" s="1181"/>
      <c r="R424" s="1182"/>
      <c r="S424" s="1182"/>
      <c r="T424" s="1182"/>
      <c r="U424" s="1182"/>
      <c r="V424" s="1182"/>
      <c r="W424" s="1182"/>
      <c r="X424" s="1182"/>
      <c r="Y424" s="1182"/>
    </row>
    <row r="425" spans="1:25" x14ac:dyDescent="0.2">
      <c r="A425" s="1763"/>
      <c r="B425" s="1763"/>
      <c r="C425" s="1763"/>
      <c r="D425" s="1763"/>
      <c r="E425" s="1181"/>
      <c r="R425" s="1182"/>
      <c r="S425" s="1182"/>
      <c r="T425" s="1182"/>
      <c r="U425" s="1182"/>
      <c r="V425" s="1182"/>
      <c r="W425" s="1182"/>
      <c r="X425" s="1182"/>
      <c r="Y425" s="1182"/>
    </row>
    <row r="426" spans="1:25" x14ac:dyDescent="0.2">
      <c r="A426" s="1763"/>
      <c r="B426" s="1763"/>
      <c r="C426" s="1763"/>
      <c r="D426" s="1763"/>
      <c r="E426" s="1181"/>
      <c r="R426" s="1182"/>
      <c r="S426" s="1182"/>
      <c r="T426" s="1182"/>
      <c r="U426" s="1182"/>
      <c r="V426" s="1182"/>
      <c r="W426" s="1182"/>
      <c r="X426" s="1182"/>
      <c r="Y426" s="1182"/>
    </row>
    <row r="427" spans="1:25" x14ac:dyDescent="0.2">
      <c r="A427" s="1763"/>
      <c r="B427" s="1763"/>
      <c r="C427" s="1763"/>
      <c r="D427" s="1763"/>
      <c r="E427" s="1181"/>
      <c r="R427" s="1182"/>
      <c r="S427" s="1182"/>
      <c r="T427" s="1182"/>
      <c r="U427" s="1182"/>
      <c r="V427" s="1182"/>
      <c r="W427" s="1182"/>
      <c r="X427" s="1182"/>
      <c r="Y427" s="1182"/>
    </row>
    <row r="428" spans="1:25" x14ac:dyDescent="0.2">
      <c r="A428" s="1763"/>
      <c r="B428" s="1763"/>
      <c r="C428" s="1763"/>
      <c r="D428" s="1763"/>
      <c r="E428" s="1181"/>
      <c r="R428" s="1182"/>
      <c r="S428" s="1182"/>
      <c r="T428" s="1182"/>
      <c r="U428" s="1182"/>
      <c r="V428" s="1182"/>
      <c r="W428" s="1182"/>
      <c r="X428" s="1182"/>
      <c r="Y428" s="1182"/>
    </row>
    <row r="429" spans="1:25" x14ac:dyDescent="0.2">
      <c r="A429" s="1763"/>
      <c r="B429" s="1763"/>
      <c r="C429" s="1763"/>
      <c r="D429" s="1763"/>
      <c r="E429" s="1181"/>
      <c r="R429" s="1182"/>
      <c r="S429" s="1182"/>
      <c r="T429" s="1182"/>
      <c r="U429" s="1182"/>
      <c r="V429" s="1182"/>
      <c r="W429" s="1182"/>
      <c r="X429" s="1182"/>
      <c r="Y429" s="1182"/>
    </row>
    <row r="430" spans="1:25" x14ac:dyDescent="0.2">
      <c r="A430" s="1763"/>
      <c r="B430" s="1763"/>
      <c r="C430" s="1763"/>
      <c r="D430" s="1763"/>
      <c r="E430" s="1181"/>
      <c r="R430" s="1182"/>
      <c r="S430" s="1182"/>
      <c r="T430" s="1182"/>
      <c r="U430" s="1182"/>
      <c r="V430" s="1182"/>
      <c r="W430" s="1182"/>
      <c r="X430" s="1182"/>
      <c r="Y430" s="1182"/>
    </row>
    <row r="431" spans="1:25" x14ac:dyDescent="0.2">
      <c r="A431" s="1763"/>
      <c r="B431" s="1763"/>
      <c r="C431" s="1763"/>
      <c r="D431" s="1763"/>
      <c r="E431" s="1181"/>
      <c r="R431" s="1182"/>
      <c r="S431" s="1182"/>
      <c r="T431" s="1182"/>
      <c r="U431" s="1182"/>
      <c r="V431" s="1182"/>
      <c r="W431" s="1182"/>
      <c r="X431" s="1182"/>
      <c r="Y431" s="1182"/>
    </row>
    <row r="432" spans="1:25" x14ac:dyDescent="0.2">
      <c r="A432" s="1763"/>
      <c r="B432" s="1763"/>
      <c r="C432" s="1763"/>
      <c r="D432" s="1763"/>
      <c r="E432" s="1181"/>
      <c r="R432" s="1182"/>
      <c r="S432" s="1182"/>
      <c r="T432" s="1182"/>
      <c r="U432" s="1182"/>
      <c r="V432" s="1182"/>
      <c r="W432" s="1182"/>
      <c r="X432" s="1182"/>
      <c r="Y432" s="1182"/>
    </row>
    <row r="433" spans="1:25" x14ac:dyDescent="0.2">
      <c r="A433" s="1763"/>
      <c r="B433" s="1763"/>
      <c r="C433" s="1763"/>
      <c r="D433" s="1763"/>
      <c r="E433" s="1181"/>
      <c r="R433" s="1182"/>
      <c r="S433" s="1182"/>
      <c r="T433" s="1182"/>
      <c r="U433" s="1182"/>
      <c r="V433" s="1182"/>
      <c r="W433" s="1182"/>
      <c r="X433" s="1182"/>
      <c r="Y433" s="1182"/>
    </row>
    <row r="434" spans="1:25" x14ac:dyDescent="0.2">
      <c r="A434" s="1763"/>
      <c r="B434" s="1763"/>
      <c r="C434" s="1763"/>
      <c r="D434" s="1763"/>
      <c r="E434" s="1181"/>
      <c r="R434" s="1182"/>
      <c r="S434" s="1182"/>
      <c r="T434" s="1182"/>
      <c r="U434" s="1182"/>
      <c r="V434" s="1182"/>
      <c r="W434" s="1182"/>
      <c r="X434" s="1182"/>
      <c r="Y434" s="1182"/>
    </row>
    <row r="435" spans="1:25" x14ac:dyDescent="0.2">
      <c r="A435" s="1763"/>
      <c r="B435" s="1763"/>
      <c r="C435" s="1763"/>
      <c r="D435" s="1763"/>
      <c r="E435" s="1181"/>
      <c r="R435" s="1182"/>
      <c r="S435" s="1182"/>
      <c r="T435" s="1182"/>
      <c r="U435" s="1182"/>
      <c r="V435" s="1182"/>
      <c r="W435" s="1182"/>
      <c r="X435" s="1182"/>
      <c r="Y435" s="1182"/>
    </row>
    <row r="436" spans="1:25" x14ac:dyDescent="0.2">
      <c r="A436" s="1763"/>
      <c r="B436" s="1763"/>
      <c r="C436" s="1763"/>
      <c r="D436" s="1763"/>
      <c r="E436" s="1181"/>
      <c r="R436" s="1182"/>
      <c r="S436" s="1182"/>
      <c r="T436" s="1182"/>
      <c r="U436" s="1182"/>
      <c r="V436" s="1182"/>
      <c r="W436" s="1182"/>
      <c r="X436" s="1182"/>
      <c r="Y436" s="1182"/>
    </row>
    <row r="437" spans="1:25" x14ac:dyDescent="0.2">
      <c r="A437" s="1763"/>
      <c r="B437" s="1763"/>
      <c r="C437" s="1763"/>
      <c r="D437" s="1763"/>
      <c r="E437" s="1181"/>
      <c r="R437" s="1182"/>
      <c r="S437" s="1182"/>
      <c r="T437" s="1182"/>
      <c r="U437" s="1182"/>
      <c r="V437" s="1182"/>
      <c r="W437" s="1182"/>
      <c r="X437" s="1182"/>
      <c r="Y437" s="1182"/>
    </row>
    <row r="438" spans="1:25" x14ac:dyDescent="0.2">
      <c r="A438" s="1763"/>
      <c r="B438" s="1763"/>
      <c r="C438" s="1763"/>
      <c r="D438" s="1763"/>
      <c r="E438" s="1181"/>
      <c r="R438" s="1182"/>
      <c r="S438" s="1182"/>
      <c r="T438" s="1182"/>
      <c r="U438" s="1182"/>
      <c r="V438" s="1182"/>
      <c r="W438" s="1182"/>
      <c r="X438" s="1182"/>
      <c r="Y438" s="1182"/>
    </row>
    <row r="439" spans="1:25" x14ac:dyDescent="0.2">
      <c r="A439" s="1763"/>
      <c r="B439" s="1763"/>
      <c r="C439" s="1763"/>
      <c r="D439" s="1763"/>
      <c r="E439" s="1181"/>
      <c r="R439" s="1182"/>
      <c r="S439" s="1182"/>
      <c r="T439" s="1182"/>
      <c r="U439" s="1182"/>
      <c r="V439" s="1182"/>
      <c r="W439" s="1182"/>
      <c r="X439" s="1182"/>
      <c r="Y439" s="1182"/>
    </row>
    <row r="440" spans="1:25" x14ac:dyDescent="0.2">
      <c r="A440" s="1763"/>
      <c r="B440" s="1763"/>
      <c r="C440" s="1763"/>
      <c r="D440" s="1763"/>
      <c r="E440" s="1181"/>
      <c r="R440" s="1182"/>
      <c r="S440" s="1182"/>
      <c r="T440" s="1182"/>
      <c r="U440" s="1182"/>
      <c r="V440" s="1182"/>
      <c r="W440" s="1182"/>
      <c r="X440" s="1182"/>
      <c r="Y440" s="1182"/>
    </row>
    <row r="441" spans="1:25" x14ac:dyDescent="0.2">
      <c r="A441" s="1763"/>
      <c r="B441" s="1763"/>
      <c r="C441" s="1763"/>
      <c r="D441" s="1763"/>
      <c r="E441" s="1181"/>
      <c r="R441" s="1182"/>
      <c r="S441" s="1182"/>
      <c r="T441" s="1182"/>
      <c r="U441" s="1182"/>
      <c r="V441" s="1182"/>
      <c r="W441" s="1182"/>
      <c r="X441" s="1182"/>
      <c r="Y441" s="1182"/>
    </row>
    <row r="442" spans="1:25" x14ac:dyDescent="0.2">
      <c r="A442" s="1763"/>
      <c r="B442" s="1763"/>
      <c r="C442" s="1763"/>
      <c r="D442" s="1763"/>
      <c r="E442" s="1181"/>
      <c r="R442" s="1182"/>
      <c r="S442" s="1182"/>
      <c r="T442" s="1182"/>
      <c r="U442" s="1182"/>
      <c r="V442" s="1182"/>
      <c r="W442" s="1182"/>
      <c r="X442" s="1182"/>
      <c r="Y442" s="1182"/>
    </row>
    <row r="443" spans="1:25" x14ac:dyDescent="0.2">
      <c r="A443" s="1763"/>
      <c r="B443" s="1763"/>
      <c r="C443" s="1763"/>
      <c r="D443" s="1763"/>
      <c r="E443" s="1181"/>
      <c r="R443" s="1182"/>
      <c r="S443" s="1182"/>
      <c r="T443" s="1182"/>
      <c r="U443" s="1182"/>
      <c r="V443" s="1182"/>
      <c r="W443" s="1182"/>
      <c r="X443" s="1182"/>
      <c r="Y443" s="1182"/>
    </row>
    <row r="444" spans="1:25" x14ac:dyDescent="0.2">
      <c r="A444" s="1763"/>
      <c r="B444" s="1763"/>
      <c r="C444" s="1763"/>
      <c r="D444" s="1763"/>
      <c r="E444" s="1181"/>
      <c r="R444" s="1182"/>
      <c r="S444" s="1182"/>
      <c r="T444" s="1182"/>
      <c r="U444" s="1182"/>
      <c r="V444" s="1182"/>
      <c r="W444" s="1182"/>
      <c r="X444" s="1182"/>
      <c r="Y444" s="1182"/>
    </row>
    <row r="445" spans="1:25" x14ac:dyDescent="0.2">
      <c r="A445" s="1763"/>
      <c r="B445" s="1763"/>
      <c r="C445" s="1763"/>
      <c r="D445" s="1763"/>
      <c r="E445" s="1181"/>
      <c r="R445" s="1182"/>
      <c r="S445" s="1182"/>
      <c r="T445" s="1182"/>
      <c r="U445" s="1182"/>
      <c r="V445" s="1182"/>
      <c r="W445" s="1182"/>
      <c r="X445" s="1182"/>
      <c r="Y445" s="1182"/>
    </row>
    <row r="446" spans="1:25" x14ac:dyDescent="0.2">
      <c r="A446" s="1763"/>
      <c r="B446" s="1763"/>
      <c r="C446" s="1763"/>
      <c r="D446" s="1763"/>
      <c r="E446" s="1181"/>
      <c r="R446" s="1182"/>
      <c r="S446" s="1182"/>
      <c r="T446" s="1182"/>
      <c r="U446" s="1182"/>
      <c r="V446" s="1182"/>
      <c r="W446" s="1182"/>
      <c r="X446" s="1182"/>
      <c r="Y446" s="1182"/>
    </row>
    <row r="447" spans="1:25" x14ac:dyDescent="0.2">
      <c r="A447" s="1763"/>
      <c r="B447" s="1763"/>
      <c r="C447" s="1763"/>
      <c r="D447" s="1763"/>
      <c r="E447" s="1181"/>
      <c r="R447" s="1182"/>
      <c r="S447" s="1182"/>
      <c r="T447" s="1182"/>
      <c r="U447" s="1182"/>
      <c r="V447" s="1182"/>
      <c r="W447" s="1182"/>
      <c r="X447" s="1182"/>
      <c r="Y447" s="1182"/>
    </row>
    <row r="448" spans="1:25" x14ac:dyDescent="0.2">
      <c r="A448" s="1763"/>
      <c r="B448" s="1763"/>
      <c r="C448" s="1763"/>
      <c r="D448" s="1763"/>
      <c r="E448" s="1181"/>
      <c r="R448" s="1182"/>
      <c r="S448" s="1182"/>
      <c r="T448" s="1182"/>
      <c r="U448" s="1182"/>
      <c r="V448" s="1182"/>
      <c r="W448" s="1182"/>
      <c r="X448" s="1182"/>
      <c r="Y448" s="1182"/>
    </row>
    <row r="449" spans="1:25" x14ac:dyDescent="0.2">
      <c r="A449" s="1763"/>
      <c r="B449" s="1763"/>
      <c r="C449" s="1763"/>
      <c r="D449" s="1763"/>
      <c r="E449" s="1181"/>
      <c r="R449" s="1182"/>
      <c r="S449" s="1182"/>
      <c r="T449" s="1182"/>
      <c r="U449" s="1182"/>
      <c r="V449" s="1182"/>
      <c r="W449" s="1182"/>
      <c r="X449" s="1182"/>
      <c r="Y449" s="1182"/>
    </row>
    <row r="450" spans="1:25" x14ac:dyDescent="0.2">
      <c r="A450" s="1763"/>
      <c r="B450" s="1763"/>
      <c r="C450" s="1763"/>
      <c r="D450" s="1763"/>
      <c r="E450" s="1181"/>
      <c r="R450" s="1182"/>
      <c r="S450" s="1182"/>
      <c r="T450" s="1182"/>
      <c r="U450" s="1182"/>
      <c r="V450" s="1182"/>
      <c r="W450" s="1182"/>
      <c r="X450" s="1182"/>
      <c r="Y450" s="1182"/>
    </row>
    <row r="451" spans="1:25" x14ac:dyDescent="0.2">
      <c r="A451" s="1763"/>
      <c r="B451" s="1763"/>
      <c r="C451" s="1763"/>
      <c r="D451" s="1763"/>
      <c r="E451" s="1181"/>
      <c r="R451" s="1182"/>
      <c r="S451" s="1182"/>
      <c r="T451" s="1182"/>
      <c r="U451" s="1182"/>
      <c r="V451" s="1182"/>
      <c r="W451" s="1182"/>
      <c r="X451" s="1182"/>
      <c r="Y451" s="1182"/>
    </row>
    <row r="452" spans="1:25" x14ac:dyDescent="0.2">
      <c r="A452" s="1763"/>
      <c r="B452" s="1763"/>
      <c r="C452" s="1763"/>
      <c r="D452" s="1763"/>
      <c r="E452" s="1181"/>
      <c r="R452" s="1182"/>
      <c r="S452" s="1182"/>
      <c r="T452" s="1182"/>
      <c r="U452" s="1182"/>
      <c r="V452" s="1182"/>
      <c r="W452" s="1182"/>
      <c r="X452" s="1182"/>
      <c r="Y452" s="1182"/>
    </row>
    <row r="453" spans="1:25" x14ac:dyDescent="0.2">
      <c r="A453" s="1763"/>
      <c r="B453" s="1763"/>
      <c r="C453" s="1763"/>
      <c r="D453" s="1763"/>
      <c r="E453" s="1181"/>
      <c r="R453" s="1182"/>
      <c r="S453" s="1182"/>
      <c r="T453" s="1182"/>
      <c r="U453" s="1182"/>
      <c r="V453" s="1182"/>
      <c r="W453" s="1182"/>
      <c r="X453" s="1182"/>
      <c r="Y453" s="1182"/>
    </row>
    <row r="454" spans="1:25" x14ac:dyDescent="0.2">
      <c r="A454" s="1763"/>
      <c r="B454" s="1763"/>
      <c r="C454" s="1763"/>
      <c r="D454" s="1763"/>
      <c r="E454" s="1181"/>
      <c r="R454" s="1182"/>
      <c r="S454" s="1182"/>
      <c r="T454" s="1182"/>
      <c r="U454" s="1182"/>
      <c r="V454" s="1182"/>
      <c r="W454" s="1182"/>
      <c r="X454" s="1182"/>
      <c r="Y454" s="1182"/>
    </row>
    <row r="455" spans="1:25" x14ac:dyDescent="0.2">
      <c r="A455" s="1763"/>
      <c r="B455" s="1763"/>
      <c r="C455" s="1763"/>
      <c r="D455" s="1763"/>
      <c r="E455" s="1181"/>
      <c r="R455" s="1182"/>
      <c r="S455" s="1182"/>
      <c r="T455" s="1182"/>
      <c r="U455" s="1182"/>
      <c r="V455" s="1182"/>
      <c r="W455" s="1182"/>
      <c r="X455" s="1182"/>
      <c r="Y455" s="1182"/>
    </row>
    <row r="456" spans="1:25" x14ac:dyDescent="0.2">
      <c r="A456" s="1763"/>
      <c r="B456" s="1763"/>
      <c r="C456" s="1763"/>
      <c r="D456" s="1763"/>
      <c r="E456" s="1181"/>
      <c r="R456" s="1182"/>
      <c r="S456" s="1182"/>
      <c r="T456" s="1182"/>
      <c r="U456" s="1182"/>
      <c r="V456" s="1182"/>
      <c r="W456" s="1182"/>
      <c r="X456" s="1182"/>
      <c r="Y456" s="1182"/>
    </row>
    <row r="457" spans="1:25" x14ac:dyDescent="0.2">
      <c r="A457" s="1763"/>
      <c r="B457" s="1763"/>
      <c r="C457" s="1763"/>
      <c r="D457" s="1763"/>
      <c r="E457" s="1181"/>
      <c r="R457" s="1182"/>
      <c r="S457" s="1182"/>
      <c r="T457" s="1182"/>
      <c r="U457" s="1182"/>
      <c r="V457" s="1182"/>
      <c r="W457" s="1182"/>
      <c r="X457" s="1182"/>
      <c r="Y457" s="1182"/>
    </row>
    <row r="458" spans="1:25" x14ac:dyDescent="0.2">
      <c r="A458" s="1763"/>
      <c r="B458" s="1763"/>
      <c r="C458" s="1763"/>
      <c r="D458" s="1763"/>
      <c r="E458" s="1181"/>
      <c r="R458" s="1182"/>
      <c r="S458" s="1182"/>
      <c r="T458" s="1182"/>
      <c r="U458" s="1182"/>
      <c r="V458" s="1182"/>
      <c r="W458" s="1182"/>
      <c r="X458" s="1182"/>
      <c r="Y458" s="1182"/>
    </row>
    <row r="459" spans="1:25" x14ac:dyDescent="0.2">
      <c r="A459" s="1763"/>
      <c r="B459" s="1763"/>
      <c r="C459" s="1763"/>
      <c r="D459" s="1763"/>
      <c r="E459" s="1181"/>
      <c r="R459" s="1182"/>
      <c r="S459" s="1182"/>
      <c r="T459" s="1182"/>
      <c r="U459" s="1182"/>
      <c r="V459" s="1182"/>
      <c r="W459" s="1182"/>
      <c r="X459" s="1182"/>
      <c r="Y459" s="1182"/>
    </row>
    <row r="460" spans="1:25" x14ac:dyDescent="0.2">
      <c r="A460" s="1763"/>
      <c r="B460" s="1763"/>
      <c r="C460" s="1763"/>
      <c r="D460" s="1763"/>
      <c r="E460" s="1181"/>
      <c r="R460" s="1182"/>
      <c r="S460" s="1182"/>
      <c r="T460" s="1182"/>
      <c r="U460" s="1182"/>
      <c r="V460" s="1182"/>
      <c r="W460" s="1182"/>
      <c r="X460" s="1182"/>
      <c r="Y460" s="1182"/>
    </row>
    <row r="461" spans="1:25" x14ac:dyDescent="0.2">
      <c r="A461" s="1763"/>
      <c r="B461" s="1763"/>
      <c r="C461" s="1763"/>
      <c r="D461" s="1763"/>
      <c r="E461" s="1181"/>
      <c r="R461" s="1182"/>
      <c r="S461" s="1182"/>
      <c r="T461" s="1182"/>
      <c r="U461" s="1182"/>
      <c r="V461" s="1182"/>
      <c r="W461" s="1182"/>
      <c r="X461" s="1182"/>
      <c r="Y461" s="1182"/>
    </row>
    <row r="462" spans="1:25" x14ac:dyDescent="0.2">
      <c r="A462" s="1763"/>
      <c r="B462" s="1763"/>
      <c r="C462" s="1763"/>
      <c r="D462" s="1763"/>
      <c r="E462" s="1181"/>
      <c r="R462" s="1182"/>
      <c r="S462" s="1182"/>
      <c r="T462" s="1182"/>
      <c r="U462" s="1182"/>
      <c r="V462" s="1182"/>
      <c r="W462" s="1182"/>
      <c r="X462" s="1182"/>
      <c r="Y462" s="1182"/>
    </row>
    <row r="463" spans="1:25" x14ac:dyDescent="0.2">
      <c r="A463" s="1763"/>
      <c r="B463" s="1763"/>
      <c r="C463" s="1763"/>
      <c r="D463" s="1763"/>
      <c r="E463" s="1181"/>
      <c r="R463" s="1182"/>
      <c r="S463" s="1182"/>
      <c r="T463" s="1182"/>
      <c r="U463" s="1182"/>
      <c r="V463" s="1182"/>
      <c r="W463" s="1182"/>
      <c r="X463" s="1182"/>
      <c r="Y463" s="1182"/>
    </row>
    <row r="464" spans="1:25" x14ac:dyDescent="0.2">
      <c r="A464" s="1763"/>
      <c r="B464" s="1763"/>
      <c r="C464" s="1763"/>
      <c r="D464" s="1763"/>
      <c r="E464" s="1181"/>
      <c r="R464" s="1182"/>
      <c r="S464" s="1182"/>
      <c r="T464" s="1182"/>
      <c r="U464" s="1182"/>
      <c r="V464" s="1182"/>
      <c r="W464" s="1182"/>
      <c r="X464" s="1182"/>
      <c r="Y464" s="1182"/>
    </row>
    <row r="465" spans="1:25" x14ac:dyDescent="0.2">
      <c r="A465" s="1763"/>
      <c r="B465" s="1763"/>
      <c r="C465" s="1763"/>
      <c r="D465" s="1763"/>
      <c r="E465" s="1181"/>
      <c r="R465" s="1182"/>
      <c r="S465" s="1182"/>
      <c r="T465" s="1182"/>
      <c r="U465" s="1182"/>
      <c r="V465" s="1182"/>
      <c r="W465" s="1182"/>
      <c r="X465" s="1182"/>
      <c r="Y465" s="1182"/>
    </row>
    <row r="466" spans="1:25" x14ac:dyDescent="0.2">
      <c r="A466" s="1763"/>
      <c r="B466" s="1763"/>
      <c r="C466" s="1763"/>
      <c r="D466" s="1763"/>
      <c r="E466" s="1181"/>
      <c r="R466" s="1182"/>
      <c r="S466" s="1182"/>
      <c r="T466" s="1182"/>
      <c r="U466" s="1182"/>
      <c r="V466" s="1182"/>
      <c r="W466" s="1182"/>
      <c r="X466" s="1182"/>
      <c r="Y466" s="1182"/>
    </row>
    <row r="467" spans="1:25" x14ac:dyDescent="0.2">
      <c r="A467" s="1763"/>
      <c r="B467" s="1763"/>
      <c r="C467" s="1763"/>
      <c r="D467" s="1763"/>
      <c r="E467" s="1181"/>
      <c r="R467" s="1182"/>
      <c r="S467" s="1182"/>
      <c r="T467" s="1182"/>
      <c r="U467" s="1182"/>
      <c r="V467" s="1182"/>
      <c r="W467" s="1182"/>
      <c r="X467" s="1182"/>
      <c r="Y467" s="1182"/>
    </row>
    <row r="468" spans="1:25" x14ac:dyDescent="0.2">
      <c r="A468" s="1763"/>
      <c r="B468" s="1763"/>
      <c r="C468" s="1763"/>
      <c r="D468" s="1763"/>
      <c r="E468" s="1181"/>
      <c r="R468" s="1182"/>
      <c r="S468" s="1182"/>
      <c r="T468" s="1182"/>
      <c r="U468" s="1182"/>
      <c r="V468" s="1182"/>
      <c r="W468" s="1182"/>
      <c r="X468" s="1182"/>
      <c r="Y468" s="1182"/>
    </row>
    <row r="469" spans="1:25" x14ac:dyDescent="0.2">
      <c r="A469" s="1763"/>
      <c r="B469" s="1763"/>
      <c r="C469" s="1763"/>
      <c r="D469" s="1763"/>
      <c r="E469" s="1181"/>
      <c r="R469" s="1182"/>
      <c r="S469" s="1182"/>
      <c r="T469" s="1182"/>
      <c r="U469" s="1182"/>
      <c r="V469" s="1182"/>
      <c r="W469" s="1182"/>
      <c r="X469" s="1182"/>
      <c r="Y469" s="1182"/>
    </row>
    <row r="470" spans="1:25" x14ac:dyDescent="0.2">
      <c r="A470" s="1763"/>
      <c r="B470" s="1763"/>
      <c r="C470" s="1763"/>
      <c r="D470" s="1763"/>
      <c r="E470" s="1181"/>
      <c r="R470" s="1182"/>
      <c r="S470" s="1182"/>
      <c r="T470" s="1182"/>
      <c r="U470" s="1182"/>
      <c r="V470" s="1182"/>
      <c r="W470" s="1182"/>
      <c r="X470" s="1182"/>
      <c r="Y470" s="1182"/>
    </row>
    <row r="471" spans="1:25" x14ac:dyDescent="0.2">
      <c r="A471" s="1763"/>
      <c r="B471" s="1763"/>
      <c r="C471" s="1763"/>
      <c r="D471" s="1763"/>
      <c r="E471" s="1181"/>
      <c r="R471" s="1182"/>
      <c r="S471" s="1182"/>
      <c r="T471" s="1182"/>
      <c r="U471" s="1182"/>
      <c r="V471" s="1182"/>
      <c r="W471" s="1182"/>
      <c r="X471" s="1182"/>
      <c r="Y471" s="1182"/>
    </row>
    <row r="472" spans="1:25" x14ac:dyDescent="0.2">
      <c r="A472" s="1763"/>
      <c r="B472" s="1763"/>
      <c r="C472" s="1763"/>
      <c r="D472" s="1763"/>
      <c r="E472" s="1181"/>
      <c r="R472" s="1182"/>
      <c r="S472" s="1182"/>
      <c r="T472" s="1182"/>
      <c r="U472" s="1182"/>
      <c r="V472" s="1182"/>
      <c r="W472" s="1182"/>
      <c r="X472" s="1182"/>
      <c r="Y472" s="1182"/>
    </row>
    <row r="473" spans="1:25" x14ac:dyDescent="0.2">
      <c r="A473" s="1763"/>
      <c r="B473" s="1763"/>
      <c r="C473" s="1763"/>
      <c r="D473" s="1763"/>
      <c r="E473" s="1181"/>
      <c r="R473" s="1182"/>
      <c r="S473" s="1182"/>
      <c r="T473" s="1182"/>
      <c r="U473" s="1182"/>
      <c r="V473" s="1182"/>
      <c r="W473" s="1182"/>
      <c r="X473" s="1182"/>
      <c r="Y473" s="1182"/>
    </row>
    <row r="474" spans="1:25" x14ac:dyDescent="0.2">
      <c r="A474" s="1763"/>
      <c r="B474" s="1763"/>
      <c r="C474" s="1763"/>
      <c r="D474" s="1763"/>
      <c r="E474" s="1181"/>
      <c r="R474" s="1182"/>
      <c r="S474" s="1182"/>
      <c r="T474" s="1182"/>
      <c r="U474" s="1182"/>
      <c r="V474" s="1182"/>
      <c r="W474" s="1182"/>
      <c r="X474" s="1182"/>
      <c r="Y474" s="1182"/>
    </row>
    <row r="475" spans="1:25" x14ac:dyDescent="0.2">
      <c r="A475" s="1763"/>
      <c r="B475" s="1763"/>
      <c r="C475" s="1763"/>
      <c r="D475" s="1763"/>
      <c r="E475" s="1181"/>
      <c r="R475" s="1182"/>
      <c r="S475" s="1182"/>
      <c r="T475" s="1182"/>
      <c r="U475" s="1182"/>
      <c r="V475" s="1182"/>
      <c r="W475" s="1182"/>
      <c r="X475" s="1182"/>
      <c r="Y475" s="1182"/>
    </row>
    <row r="476" spans="1:25" x14ac:dyDescent="0.2">
      <c r="A476" s="1763"/>
      <c r="B476" s="1763"/>
      <c r="C476" s="1763"/>
      <c r="D476" s="1763"/>
      <c r="E476" s="1181"/>
      <c r="R476" s="1182"/>
      <c r="S476" s="1182"/>
      <c r="T476" s="1182"/>
      <c r="U476" s="1182"/>
      <c r="V476" s="1182"/>
      <c r="W476" s="1182"/>
      <c r="X476" s="1182"/>
      <c r="Y476" s="1182"/>
    </row>
    <row r="477" spans="1:25" x14ac:dyDescent="0.2">
      <c r="A477" s="1763"/>
      <c r="B477" s="1763"/>
      <c r="C477" s="1763"/>
      <c r="D477" s="1763"/>
      <c r="E477" s="1181"/>
      <c r="R477" s="1182"/>
      <c r="S477" s="1182"/>
      <c r="T477" s="1182"/>
      <c r="U477" s="1182"/>
      <c r="V477" s="1182"/>
      <c r="W477" s="1182"/>
      <c r="X477" s="1182"/>
      <c r="Y477" s="1182"/>
    </row>
    <row r="478" spans="1:25" x14ac:dyDescent="0.2">
      <c r="A478" s="1763"/>
      <c r="B478" s="1763"/>
      <c r="C478" s="1763"/>
      <c r="D478" s="1763"/>
      <c r="E478" s="1181"/>
      <c r="R478" s="1182"/>
      <c r="S478" s="1182"/>
      <c r="T478" s="1182"/>
      <c r="U478" s="1182"/>
      <c r="V478" s="1182"/>
      <c r="W478" s="1182"/>
      <c r="X478" s="1182"/>
      <c r="Y478" s="1182"/>
    </row>
    <row r="479" spans="1:25" x14ac:dyDescent="0.2">
      <c r="A479" s="1763"/>
      <c r="B479" s="1763"/>
      <c r="C479" s="1763"/>
      <c r="D479" s="1763"/>
      <c r="E479" s="1181"/>
      <c r="R479" s="1182"/>
      <c r="S479" s="1182"/>
      <c r="T479" s="1182"/>
      <c r="U479" s="1182"/>
      <c r="V479" s="1182"/>
      <c r="W479" s="1182"/>
      <c r="X479" s="1182"/>
      <c r="Y479" s="1182"/>
    </row>
    <row r="480" spans="1:25" x14ac:dyDescent="0.2">
      <c r="A480" s="1763"/>
      <c r="B480" s="1763"/>
      <c r="C480" s="1763"/>
      <c r="D480" s="1763"/>
      <c r="E480" s="1181"/>
      <c r="R480" s="1182"/>
      <c r="S480" s="1182"/>
      <c r="T480" s="1182"/>
      <c r="U480" s="1182"/>
      <c r="V480" s="1182"/>
      <c r="W480" s="1182"/>
      <c r="X480" s="1182"/>
      <c r="Y480" s="1182"/>
    </row>
    <row r="481" spans="1:25" x14ac:dyDescent="0.2">
      <c r="A481" s="1763"/>
      <c r="B481" s="1763"/>
      <c r="C481" s="1763"/>
      <c r="D481" s="1763"/>
      <c r="E481" s="1181"/>
      <c r="R481" s="1182"/>
      <c r="S481" s="1182"/>
      <c r="T481" s="1182"/>
      <c r="U481" s="1182"/>
      <c r="V481" s="1182"/>
      <c r="W481" s="1182"/>
      <c r="X481" s="1182"/>
      <c r="Y481" s="1182"/>
    </row>
    <row r="482" spans="1:25" x14ac:dyDescent="0.2">
      <c r="A482" s="1763"/>
      <c r="B482" s="1763"/>
      <c r="C482" s="1763"/>
      <c r="D482" s="1763"/>
      <c r="E482" s="1181"/>
      <c r="R482" s="1182"/>
      <c r="S482" s="1182"/>
      <c r="T482" s="1182"/>
      <c r="U482" s="1182"/>
      <c r="V482" s="1182"/>
      <c r="W482" s="1182"/>
      <c r="X482" s="1182"/>
      <c r="Y482" s="1182"/>
    </row>
    <row r="483" spans="1:25" x14ac:dyDescent="0.2">
      <c r="A483" s="1763"/>
      <c r="B483" s="1763"/>
      <c r="C483" s="1763"/>
      <c r="D483" s="1763"/>
      <c r="E483" s="1181"/>
      <c r="R483" s="1182"/>
      <c r="S483" s="1182"/>
      <c r="T483" s="1182"/>
      <c r="U483" s="1182"/>
      <c r="V483" s="1182"/>
      <c r="W483" s="1182"/>
      <c r="X483" s="1182"/>
      <c r="Y483" s="1182"/>
    </row>
    <row r="484" spans="1:25" x14ac:dyDescent="0.2">
      <c r="A484" s="1763"/>
      <c r="B484" s="1763"/>
      <c r="C484" s="1763"/>
      <c r="D484" s="1763"/>
      <c r="E484" s="1181"/>
      <c r="R484" s="1182"/>
      <c r="S484" s="1182"/>
      <c r="T484" s="1182"/>
      <c r="U484" s="1182"/>
      <c r="V484" s="1182"/>
      <c r="W484" s="1182"/>
      <c r="X484" s="1182"/>
      <c r="Y484" s="1182"/>
    </row>
    <row r="485" spans="1:25" x14ac:dyDescent="0.2">
      <c r="A485" s="1763"/>
      <c r="B485" s="1763"/>
      <c r="C485" s="1763"/>
      <c r="D485" s="1763"/>
      <c r="E485" s="1181"/>
      <c r="R485" s="1182"/>
      <c r="S485" s="1182"/>
      <c r="T485" s="1182"/>
      <c r="U485" s="1182"/>
      <c r="V485" s="1182"/>
      <c r="W485" s="1182"/>
      <c r="X485" s="1182"/>
      <c r="Y485" s="1182"/>
    </row>
    <row r="486" spans="1:25" x14ac:dyDescent="0.2">
      <c r="A486" s="1763"/>
      <c r="B486" s="1763"/>
      <c r="C486" s="1763"/>
      <c r="D486" s="1763"/>
      <c r="E486" s="1181"/>
      <c r="R486" s="1182"/>
      <c r="S486" s="1182"/>
      <c r="T486" s="1182"/>
      <c r="U486" s="1182"/>
      <c r="V486" s="1182"/>
      <c r="W486" s="1182"/>
      <c r="X486" s="1182"/>
      <c r="Y486" s="1182"/>
    </row>
    <row r="487" spans="1:25" x14ac:dyDescent="0.2">
      <c r="A487" s="1763"/>
      <c r="B487" s="1763"/>
      <c r="C487" s="1763"/>
      <c r="D487" s="1763"/>
      <c r="E487" s="1181"/>
      <c r="R487" s="1182"/>
      <c r="S487" s="1182"/>
      <c r="T487" s="1182"/>
      <c r="U487" s="1182"/>
      <c r="V487" s="1182"/>
      <c r="W487" s="1182"/>
      <c r="X487" s="1182"/>
      <c r="Y487" s="1182"/>
    </row>
    <row r="488" spans="1:25" x14ac:dyDescent="0.2">
      <c r="A488" s="1763"/>
      <c r="B488" s="1763"/>
      <c r="C488" s="1763"/>
      <c r="D488" s="1763"/>
      <c r="E488" s="1181"/>
      <c r="R488" s="1182"/>
      <c r="S488" s="1182"/>
      <c r="T488" s="1182"/>
      <c r="U488" s="1182"/>
      <c r="V488" s="1182"/>
      <c r="W488" s="1182"/>
      <c r="X488" s="1182"/>
      <c r="Y488" s="1182"/>
    </row>
    <row r="489" spans="1:25" x14ac:dyDescent="0.2">
      <c r="A489" s="1763"/>
      <c r="B489" s="1763"/>
      <c r="C489" s="1763"/>
      <c r="D489" s="1763"/>
      <c r="E489" s="1181"/>
      <c r="R489" s="1182"/>
      <c r="S489" s="1182"/>
      <c r="T489" s="1182"/>
      <c r="U489" s="1182"/>
      <c r="V489" s="1182"/>
      <c r="W489" s="1182"/>
      <c r="X489" s="1182"/>
      <c r="Y489" s="1182"/>
    </row>
    <row r="490" spans="1:25" x14ac:dyDescent="0.2">
      <c r="A490" s="1763"/>
      <c r="B490" s="1763"/>
      <c r="C490" s="1763"/>
      <c r="D490" s="1763"/>
      <c r="E490" s="1181"/>
      <c r="R490" s="1182"/>
      <c r="S490" s="1182"/>
      <c r="T490" s="1182"/>
      <c r="U490" s="1182"/>
      <c r="V490" s="1182"/>
      <c r="W490" s="1182"/>
      <c r="X490" s="1182"/>
      <c r="Y490" s="1182"/>
    </row>
    <row r="491" spans="1:25" x14ac:dyDescent="0.2">
      <c r="A491" s="1763"/>
      <c r="B491" s="1763"/>
      <c r="C491" s="1763"/>
      <c r="D491" s="1763"/>
      <c r="E491" s="1181"/>
      <c r="R491" s="1182"/>
      <c r="S491" s="1182"/>
      <c r="T491" s="1182"/>
      <c r="U491" s="1182"/>
      <c r="V491" s="1182"/>
      <c r="W491" s="1182"/>
      <c r="X491" s="1182"/>
      <c r="Y491" s="1182"/>
    </row>
    <row r="492" spans="1:25" x14ac:dyDescent="0.2">
      <c r="A492" s="1763"/>
      <c r="B492" s="1763"/>
      <c r="C492" s="1763"/>
      <c r="D492" s="1763"/>
      <c r="E492" s="1181"/>
      <c r="R492" s="1182"/>
      <c r="S492" s="1182"/>
      <c r="T492" s="1182"/>
      <c r="U492" s="1182"/>
      <c r="V492" s="1182"/>
      <c r="W492" s="1182"/>
      <c r="X492" s="1182"/>
      <c r="Y492" s="1182"/>
    </row>
    <row r="493" spans="1:25" x14ac:dyDescent="0.2">
      <c r="A493" s="1763"/>
      <c r="B493" s="1763"/>
      <c r="C493" s="1763"/>
      <c r="D493" s="1763"/>
      <c r="E493" s="1181"/>
      <c r="R493" s="1182"/>
      <c r="S493" s="1182"/>
      <c r="T493" s="1182"/>
      <c r="U493" s="1182"/>
      <c r="V493" s="1182"/>
      <c r="W493" s="1182"/>
      <c r="X493" s="1182"/>
      <c r="Y493" s="1182"/>
    </row>
    <row r="494" spans="1:25" x14ac:dyDescent="0.2">
      <c r="A494" s="1763"/>
      <c r="B494" s="1763"/>
      <c r="C494" s="1763"/>
      <c r="D494" s="1763"/>
      <c r="E494" s="1181"/>
      <c r="R494" s="1182"/>
      <c r="S494" s="1182"/>
      <c r="T494" s="1182"/>
      <c r="U494" s="1182"/>
      <c r="V494" s="1182"/>
      <c r="W494" s="1182"/>
      <c r="X494" s="1182"/>
      <c r="Y494" s="1182"/>
    </row>
    <row r="495" spans="1:25" x14ac:dyDescent="0.2">
      <c r="A495" s="1763"/>
      <c r="B495" s="1763"/>
      <c r="C495" s="1763"/>
      <c r="D495" s="1763"/>
      <c r="E495" s="1181"/>
      <c r="R495" s="1182"/>
      <c r="S495" s="1182"/>
      <c r="T495" s="1182"/>
      <c r="U495" s="1182"/>
      <c r="V495" s="1182"/>
      <c r="W495" s="1182"/>
      <c r="X495" s="1182"/>
      <c r="Y495" s="1182"/>
    </row>
    <row r="496" spans="1:25" x14ac:dyDescent="0.2">
      <c r="A496" s="1763"/>
      <c r="B496" s="1763"/>
      <c r="C496" s="1763"/>
      <c r="D496" s="1763"/>
      <c r="E496" s="1181"/>
      <c r="R496" s="1182"/>
      <c r="S496" s="1182"/>
      <c r="T496" s="1182"/>
      <c r="U496" s="1182"/>
      <c r="V496" s="1182"/>
      <c r="W496" s="1182"/>
      <c r="X496" s="1182"/>
      <c r="Y496" s="1182"/>
    </row>
    <row r="497" spans="1:25" x14ac:dyDescent="0.2">
      <c r="A497" s="1763"/>
      <c r="B497" s="1763"/>
      <c r="C497" s="1763"/>
      <c r="D497" s="1763"/>
      <c r="E497" s="1181"/>
      <c r="R497" s="1182"/>
      <c r="S497" s="1182"/>
      <c r="T497" s="1182"/>
      <c r="U497" s="1182"/>
      <c r="V497" s="1182"/>
      <c r="W497" s="1182"/>
      <c r="X497" s="1182"/>
      <c r="Y497" s="1182"/>
    </row>
    <row r="498" spans="1:25" x14ac:dyDescent="0.2">
      <c r="A498" s="1763"/>
      <c r="B498" s="1763"/>
      <c r="C498" s="1763"/>
      <c r="D498" s="1763"/>
      <c r="E498" s="1181"/>
      <c r="R498" s="1182"/>
      <c r="S498" s="1182"/>
      <c r="T498" s="1182"/>
      <c r="U498" s="1182"/>
      <c r="V498" s="1182"/>
      <c r="W498" s="1182"/>
      <c r="X498" s="1182"/>
      <c r="Y498" s="1182"/>
    </row>
    <row r="499" spans="1:25" x14ac:dyDescent="0.2">
      <c r="A499" s="1763"/>
      <c r="B499" s="1763"/>
      <c r="C499" s="1763"/>
      <c r="D499" s="1763"/>
      <c r="E499" s="1181"/>
      <c r="R499" s="1182"/>
      <c r="S499" s="1182"/>
      <c r="T499" s="1182"/>
      <c r="U499" s="1182"/>
      <c r="V499" s="1182"/>
      <c r="W499" s="1182"/>
      <c r="X499" s="1182"/>
      <c r="Y499" s="1182"/>
    </row>
    <row r="500" spans="1:25" x14ac:dyDescent="0.2">
      <c r="A500" s="1763"/>
      <c r="B500" s="1763"/>
      <c r="C500" s="1763"/>
      <c r="D500" s="1763"/>
      <c r="E500" s="1181"/>
      <c r="R500" s="1182"/>
      <c r="S500" s="1182"/>
      <c r="T500" s="1182"/>
      <c r="U500" s="1182"/>
      <c r="V500" s="1182"/>
      <c r="W500" s="1182"/>
      <c r="X500" s="1182"/>
      <c r="Y500" s="1182"/>
    </row>
    <row r="501" spans="1:25" x14ac:dyDescent="0.2">
      <c r="A501" s="1763"/>
      <c r="B501" s="1763"/>
      <c r="C501" s="1763"/>
      <c r="D501" s="1763"/>
      <c r="E501" s="1181"/>
      <c r="R501" s="1182"/>
      <c r="S501" s="1182"/>
      <c r="T501" s="1182"/>
      <c r="U501" s="1182"/>
      <c r="V501" s="1182"/>
      <c r="W501" s="1182"/>
      <c r="X501" s="1182"/>
      <c r="Y501" s="1182"/>
    </row>
    <row r="502" spans="1:25" x14ac:dyDescent="0.2">
      <c r="A502" s="1763"/>
      <c r="B502" s="1763"/>
      <c r="C502" s="1763"/>
      <c r="D502" s="1763"/>
      <c r="E502" s="1181"/>
      <c r="R502" s="1182"/>
      <c r="S502" s="1182"/>
      <c r="T502" s="1182"/>
      <c r="U502" s="1182"/>
      <c r="V502" s="1182"/>
      <c r="W502" s="1182"/>
      <c r="X502" s="1182"/>
      <c r="Y502" s="1182"/>
    </row>
    <row r="503" spans="1:25" x14ac:dyDescent="0.2">
      <c r="A503" s="1763"/>
      <c r="B503" s="1763"/>
      <c r="C503" s="1763"/>
      <c r="D503" s="1763"/>
      <c r="E503" s="1181"/>
      <c r="R503" s="1182"/>
      <c r="S503" s="1182"/>
      <c r="T503" s="1182"/>
      <c r="U503" s="1182"/>
      <c r="V503" s="1182"/>
      <c r="W503" s="1182"/>
      <c r="X503" s="1182"/>
      <c r="Y503" s="1182"/>
    </row>
    <row r="504" spans="1:25" x14ac:dyDescent="0.2">
      <c r="A504" s="1763"/>
      <c r="B504" s="1763"/>
      <c r="C504" s="1763"/>
      <c r="D504" s="1763"/>
      <c r="E504" s="1181"/>
      <c r="R504" s="1182"/>
      <c r="S504" s="1182"/>
      <c r="T504" s="1182"/>
      <c r="U504" s="1182"/>
      <c r="V504" s="1182"/>
      <c r="W504" s="1182"/>
      <c r="X504" s="1182"/>
      <c r="Y504" s="1182"/>
    </row>
    <row r="505" spans="1:25" x14ac:dyDescent="0.2">
      <c r="A505" s="1763"/>
      <c r="B505" s="1763"/>
      <c r="C505" s="1763"/>
      <c r="D505" s="1763"/>
      <c r="E505" s="1181"/>
      <c r="R505" s="1182"/>
      <c r="S505" s="1182"/>
      <c r="T505" s="1182"/>
      <c r="U505" s="1182"/>
      <c r="V505" s="1182"/>
      <c r="W505" s="1182"/>
      <c r="X505" s="1182"/>
      <c r="Y505" s="1182"/>
    </row>
    <row r="506" spans="1:25" x14ac:dyDescent="0.2">
      <c r="A506" s="1763"/>
      <c r="B506" s="1763"/>
      <c r="C506" s="1763"/>
      <c r="D506" s="1763"/>
      <c r="E506" s="1181"/>
      <c r="R506" s="1182"/>
      <c r="S506" s="1182"/>
      <c r="T506" s="1182"/>
      <c r="U506" s="1182"/>
      <c r="V506" s="1182"/>
      <c r="W506" s="1182"/>
      <c r="X506" s="1182"/>
      <c r="Y506" s="1182"/>
    </row>
    <row r="507" spans="1:25" x14ac:dyDescent="0.2">
      <c r="A507" s="1763"/>
      <c r="B507" s="1763"/>
      <c r="C507" s="1763"/>
      <c r="D507" s="1763"/>
      <c r="E507" s="1181"/>
      <c r="R507" s="1182"/>
      <c r="S507" s="1182"/>
      <c r="T507" s="1182"/>
      <c r="U507" s="1182"/>
      <c r="V507" s="1182"/>
      <c r="W507" s="1182"/>
      <c r="X507" s="1182"/>
      <c r="Y507" s="1182"/>
    </row>
    <row r="508" spans="1:25" x14ac:dyDescent="0.2">
      <c r="A508" s="1763"/>
      <c r="B508" s="1763"/>
      <c r="C508" s="1763"/>
      <c r="D508" s="1763"/>
      <c r="E508" s="1181"/>
      <c r="R508" s="1182"/>
      <c r="S508" s="1182"/>
      <c r="T508" s="1182"/>
      <c r="U508" s="1182"/>
      <c r="V508" s="1182"/>
      <c r="W508" s="1182"/>
      <c r="X508" s="1182"/>
      <c r="Y508" s="1182"/>
    </row>
    <row r="509" spans="1:25" x14ac:dyDescent="0.2">
      <c r="A509" s="1763"/>
      <c r="B509" s="1763"/>
      <c r="C509" s="1763"/>
      <c r="D509" s="1763"/>
      <c r="E509" s="1181"/>
      <c r="R509" s="1182"/>
      <c r="S509" s="1182"/>
      <c r="T509" s="1182"/>
      <c r="U509" s="1182"/>
      <c r="V509" s="1182"/>
      <c r="W509" s="1182"/>
      <c r="X509" s="1182"/>
      <c r="Y509" s="1182"/>
    </row>
    <row r="510" spans="1:25" x14ac:dyDescent="0.2">
      <c r="A510" s="1763"/>
      <c r="B510" s="1763"/>
      <c r="C510" s="1763"/>
      <c r="D510" s="1763"/>
      <c r="E510" s="1181"/>
      <c r="R510" s="1182"/>
      <c r="S510" s="1182"/>
      <c r="T510" s="1182"/>
      <c r="U510" s="1182"/>
      <c r="V510" s="1182"/>
      <c r="W510" s="1182"/>
      <c r="X510" s="1182"/>
      <c r="Y510" s="1182"/>
    </row>
    <row r="511" spans="1:25" x14ac:dyDescent="0.2">
      <c r="A511" s="1763"/>
      <c r="B511" s="1763"/>
      <c r="C511" s="1763"/>
      <c r="D511" s="1763"/>
      <c r="E511" s="1181"/>
      <c r="R511" s="1182"/>
      <c r="S511" s="1182"/>
      <c r="T511" s="1182"/>
      <c r="U511" s="1182"/>
      <c r="V511" s="1182"/>
      <c r="W511" s="1182"/>
      <c r="X511" s="1182"/>
      <c r="Y511" s="1182"/>
    </row>
    <row r="512" spans="1:25" x14ac:dyDescent="0.2">
      <c r="A512" s="1763"/>
      <c r="B512" s="1763"/>
      <c r="C512" s="1763"/>
      <c r="D512" s="1763"/>
      <c r="E512" s="1181"/>
      <c r="R512" s="1182"/>
      <c r="S512" s="1182"/>
      <c r="T512" s="1182"/>
      <c r="U512" s="1182"/>
      <c r="V512" s="1182"/>
      <c r="W512" s="1182"/>
      <c r="X512" s="1182"/>
      <c r="Y512" s="1182"/>
    </row>
    <row r="513" spans="1:25" x14ac:dyDescent="0.2">
      <c r="A513" s="1763"/>
      <c r="B513" s="1763"/>
      <c r="C513" s="1763"/>
      <c r="D513" s="1763"/>
      <c r="E513" s="1181"/>
      <c r="R513" s="1182"/>
      <c r="S513" s="1182"/>
      <c r="T513" s="1182"/>
      <c r="U513" s="1182"/>
      <c r="V513" s="1182"/>
      <c r="W513" s="1182"/>
      <c r="X513" s="1182"/>
      <c r="Y513" s="1182"/>
    </row>
    <row r="514" spans="1:25" x14ac:dyDescent="0.2">
      <c r="A514" s="1763"/>
      <c r="B514" s="1763"/>
      <c r="C514" s="1763"/>
      <c r="D514" s="1763"/>
      <c r="E514" s="1181"/>
      <c r="R514" s="1182"/>
      <c r="S514" s="1182"/>
      <c r="T514" s="1182"/>
      <c r="U514" s="1182"/>
      <c r="V514" s="1182"/>
      <c r="W514" s="1182"/>
      <c r="X514" s="1182"/>
      <c r="Y514" s="1182"/>
    </row>
    <row r="515" spans="1:25" x14ac:dyDescent="0.2">
      <c r="A515" s="1763"/>
      <c r="B515" s="1763"/>
      <c r="C515" s="1763"/>
      <c r="D515" s="1763"/>
      <c r="E515" s="1181"/>
      <c r="R515" s="1182"/>
      <c r="S515" s="1182"/>
      <c r="T515" s="1182"/>
      <c r="U515" s="1182"/>
      <c r="V515" s="1182"/>
      <c r="W515" s="1182"/>
      <c r="X515" s="1182"/>
      <c r="Y515" s="1182"/>
    </row>
    <row r="516" spans="1:25" x14ac:dyDescent="0.2">
      <c r="A516" s="1763"/>
      <c r="B516" s="1763"/>
      <c r="C516" s="1763"/>
      <c r="D516" s="1763"/>
      <c r="E516" s="1181"/>
      <c r="R516" s="1182"/>
      <c r="S516" s="1182"/>
      <c r="T516" s="1182"/>
      <c r="U516" s="1182"/>
      <c r="V516" s="1182"/>
      <c r="W516" s="1182"/>
      <c r="X516" s="1182"/>
      <c r="Y516" s="1182"/>
    </row>
    <row r="517" spans="1:25" x14ac:dyDescent="0.2">
      <c r="A517" s="1763"/>
      <c r="B517" s="1763"/>
      <c r="C517" s="1763"/>
      <c r="D517" s="1763"/>
      <c r="E517" s="1181"/>
      <c r="R517" s="1182"/>
      <c r="S517" s="1182"/>
      <c r="T517" s="1182"/>
      <c r="U517" s="1182"/>
      <c r="V517" s="1182"/>
      <c r="W517" s="1182"/>
      <c r="X517" s="1182"/>
      <c r="Y517" s="1182"/>
    </row>
    <row r="518" spans="1:25" x14ac:dyDescent="0.2">
      <c r="A518" s="1763"/>
      <c r="B518" s="1763"/>
      <c r="C518" s="1763"/>
      <c r="D518" s="1763"/>
      <c r="E518" s="1181"/>
      <c r="R518" s="1182"/>
      <c r="S518" s="1182"/>
      <c r="T518" s="1182"/>
      <c r="U518" s="1182"/>
      <c r="V518" s="1182"/>
      <c r="W518" s="1182"/>
      <c r="X518" s="1182"/>
      <c r="Y518" s="1182"/>
    </row>
    <row r="519" spans="1:25" x14ac:dyDescent="0.2">
      <c r="A519" s="1763"/>
      <c r="B519" s="1763"/>
      <c r="C519" s="1763"/>
      <c r="D519" s="1763"/>
      <c r="E519" s="1181"/>
      <c r="R519" s="1182"/>
      <c r="S519" s="1182"/>
      <c r="T519" s="1182"/>
      <c r="U519" s="1182"/>
      <c r="V519" s="1182"/>
      <c r="W519" s="1182"/>
      <c r="X519" s="1182"/>
      <c r="Y519" s="1182"/>
    </row>
    <row r="520" spans="1:25" x14ac:dyDescent="0.2">
      <c r="A520" s="1763"/>
      <c r="B520" s="1763"/>
      <c r="C520" s="1763"/>
      <c r="D520" s="1763"/>
      <c r="E520" s="1181"/>
      <c r="R520" s="1182"/>
      <c r="S520" s="1182"/>
      <c r="T520" s="1182"/>
      <c r="U520" s="1182"/>
      <c r="V520" s="1182"/>
      <c r="W520" s="1182"/>
      <c r="X520" s="1182"/>
      <c r="Y520" s="1182"/>
    </row>
    <row r="521" spans="1:25" x14ac:dyDescent="0.2">
      <c r="A521" s="1763"/>
      <c r="B521" s="1763"/>
      <c r="C521" s="1763"/>
      <c r="D521" s="1763"/>
      <c r="E521" s="1181"/>
      <c r="R521" s="1182"/>
      <c r="S521" s="1182"/>
      <c r="T521" s="1182"/>
      <c r="U521" s="1182"/>
      <c r="V521" s="1182"/>
      <c r="W521" s="1182"/>
      <c r="X521" s="1182"/>
      <c r="Y521" s="1182"/>
    </row>
    <row r="522" spans="1:25" x14ac:dyDescent="0.2">
      <c r="A522" s="1763"/>
      <c r="B522" s="1763"/>
      <c r="C522" s="1763"/>
      <c r="D522" s="1763"/>
      <c r="E522" s="1181"/>
      <c r="R522" s="1182"/>
      <c r="S522" s="1182"/>
      <c r="T522" s="1182"/>
      <c r="U522" s="1182"/>
      <c r="V522" s="1182"/>
      <c r="W522" s="1182"/>
      <c r="X522" s="1182"/>
      <c r="Y522" s="1182"/>
    </row>
    <row r="523" spans="1:25" x14ac:dyDescent="0.2">
      <c r="A523" s="1763"/>
      <c r="B523" s="1763"/>
      <c r="C523" s="1763"/>
      <c r="D523" s="1763"/>
      <c r="E523" s="1181"/>
      <c r="R523" s="1182"/>
      <c r="S523" s="1182"/>
      <c r="T523" s="1182"/>
      <c r="U523" s="1182"/>
      <c r="V523" s="1182"/>
      <c r="W523" s="1182"/>
      <c r="X523" s="1182"/>
      <c r="Y523" s="1182"/>
    </row>
    <row r="524" spans="1:25" x14ac:dyDescent="0.2">
      <c r="A524" s="1763"/>
      <c r="B524" s="1763"/>
      <c r="C524" s="1763"/>
      <c r="D524" s="1763"/>
      <c r="E524" s="1181"/>
      <c r="R524" s="1182"/>
      <c r="S524" s="1182"/>
      <c r="T524" s="1182"/>
      <c r="U524" s="1182"/>
      <c r="V524" s="1182"/>
      <c r="W524" s="1182"/>
      <c r="X524" s="1182"/>
      <c r="Y524" s="1182"/>
    </row>
    <row r="525" spans="1:25" x14ac:dyDescent="0.2">
      <c r="A525" s="1763"/>
      <c r="B525" s="1763"/>
      <c r="C525" s="1763"/>
      <c r="D525" s="1763"/>
      <c r="E525" s="1181"/>
      <c r="R525" s="1182"/>
      <c r="S525" s="1182"/>
      <c r="T525" s="1182"/>
      <c r="U525" s="1182"/>
      <c r="V525" s="1182"/>
      <c r="W525" s="1182"/>
      <c r="X525" s="1182"/>
      <c r="Y525" s="1182"/>
    </row>
    <row r="526" spans="1:25" x14ac:dyDescent="0.2">
      <c r="A526" s="1763"/>
      <c r="B526" s="1763"/>
      <c r="C526" s="1763"/>
      <c r="D526" s="1763"/>
      <c r="E526" s="1181"/>
      <c r="R526" s="1182"/>
      <c r="S526" s="1182"/>
      <c r="T526" s="1182"/>
      <c r="U526" s="1182"/>
      <c r="V526" s="1182"/>
      <c r="W526" s="1182"/>
      <c r="X526" s="1182"/>
      <c r="Y526" s="1182"/>
    </row>
    <row r="527" spans="1:25" x14ac:dyDescent="0.2">
      <c r="A527" s="1763"/>
      <c r="B527" s="1763"/>
      <c r="C527" s="1763"/>
      <c r="D527" s="1763"/>
      <c r="E527" s="1181"/>
      <c r="R527" s="1182"/>
      <c r="S527" s="1182"/>
      <c r="T527" s="1182"/>
      <c r="U527" s="1182"/>
      <c r="V527" s="1182"/>
      <c r="W527" s="1182"/>
      <c r="X527" s="1182"/>
      <c r="Y527" s="1182"/>
    </row>
    <row r="528" spans="1:25" x14ac:dyDescent="0.2">
      <c r="A528" s="1763"/>
      <c r="B528" s="1763"/>
      <c r="C528" s="1763"/>
      <c r="D528" s="1763"/>
      <c r="E528" s="1181"/>
      <c r="R528" s="1182"/>
      <c r="S528" s="1182"/>
      <c r="T528" s="1182"/>
      <c r="U528" s="1182"/>
      <c r="V528" s="1182"/>
      <c r="W528" s="1182"/>
      <c r="X528" s="1182"/>
      <c r="Y528" s="1182"/>
    </row>
    <row r="529" spans="1:25" x14ac:dyDescent="0.2">
      <c r="A529" s="1763"/>
      <c r="B529" s="1763"/>
      <c r="C529" s="1763"/>
      <c r="D529" s="1763"/>
      <c r="E529" s="1181"/>
      <c r="R529" s="1182"/>
      <c r="S529" s="1182"/>
      <c r="T529" s="1182"/>
      <c r="U529" s="1182"/>
      <c r="V529" s="1182"/>
      <c r="W529" s="1182"/>
      <c r="X529" s="1182"/>
      <c r="Y529" s="1182"/>
    </row>
    <row r="530" spans="1:25" x14ac:dyDescent="0.2">
      <c r="A530" s="1763"/>
      <c r="B530" s="1763"/>
      <c r="C530" s="1763"/>
      <c r="D530" s="1763"/>
      <c r="E530" s="1181"/>
      <c r="R530" s="1182"/>
      <c r="S530" s="1182"/>
      <c r="T530" s="1182"/>
      <c r="U530" s="1182"/>
      <c r="V530" s="1182"/>
      <c r="W530" s="1182"/>
      <c r="X530" s="1182"/>
      <c r="Y530" s="1182"/>
    </row>
    <row r="531" spans="1:25" x14ac:dyDescent="0.2">
      <c r="A531" s="1763"/>
      <c r="B531" s="1763"/>
      <c r="C531" s="1763"/>
      <c r="D531" s="1763"/>
      <c r="E531" s="1181"/>
      <c r="R531" s="1182"/>
      <c r="S531" s="1182"/>
      <c r="T531" s="1182"/>
      <c r="U531" s="1182"/>
      <c r="V531" s="1182"/>
      <c r="W531" s="1182"/>
      <c r="X531" s="1182"/>
      <c r="Y531" s="1182"/>
    </row>
    <row r="532" spans="1:25" x14ac:dyDescent="0.2">
      <c r="A532" s="1763"/>
      <c r="B532" s="1763"/>
      <c r="C532" s="1763"/>
      <c r="D532" s="1763"/>
      <c r="E532" s="1181"/>
      <c r="R532" s="1182"/>
      <c r="S532" s="1182"/>
      <c r="T532" s="1182"/>
      <c r="U532" s="1182"/>
      <c r="V532" s="1182"/>
      <c r="W532" s="1182"/>
      <c r="X532" s="1182"/>
      <c r="Y532" s="1182"/>
    </row>
    <row r="533" spans="1:25" x14ac:dyDescent="0.2">
      <c r="A533" s="1763"/>
      <c r="B533" s="1763"/>
      <c r="C533" s="1763"/>
      <c r="D533" s="1763"/>
      <c r="E533" s="1181"/>
      <c r="R533" s="1182"/>
      <c r="S533" s="1182"/>
      <c r="T533" s="1182"/>
      <c r="U533" s="1182"/>
      <c r="V533" s="1182"/>
      <c r="W533" s="1182"/>
      <c r="X533" s="1182"/>
      <c r="Y533" s="1182"/>
    </row>
    <row r="534" spans="1:25" x14ac:dyDescent="0.2">
      <c r="A534" s="1763"/>
      <c r="B534" s="1763"/>
      <c r="C534" s="1763"/>
      <c r="D534" s="1763"/>
      <c r="E534" s="1181"/>
      <c r="R534" s="1182"/>
      <c r="S534" s="1182"/>
      <c r="T534" s="1182"/>
      <c r="U534" s="1182"/>
      <c r="V534" s="1182"/>
      <c r="W534" s="1182"/>
      <c r="X534" s="1182"/>
      <c r="Y534" s="1182"/>
    </row>
    <row r="535" spans="1:25" x14ac:dyDescent="0.2">
      <c r="A535" s="1763"/>
      <c r="B535" s="1763"/>
      <c r="C535" s="1763"/>
      <c r="D535" s="1763"/>
      <c r="E535" s="1181"/>
      <c r="R535" s="1182"/>
      <c r="S535" s="1182"/>
      <c r="T535" s="1182"/>
      <c r="U535" s="1182"/>
      <c r="V535" s="1182"/>
      <c r="W535" s="1182"/>
      <c r="X535" s="1182"/>
      <c r="Y535" s="1182"/>
    </row>
    <row r="536" spans="1:25" x14ac:dyDescent="0.2">
      <c r="A536" s="1763"/>
      <c r="B536" s="1763"/>
      <c r="C536" s="1763"/>
      <c r="D536" s="1763"/>
      <c r="E536" s="1181"/>
      <c r="R536" s="1182"/>
      <c r="S536" s="1182"/>
      <c r="T536" s="1182"/>
      <c r="U536" s="1182"/>
      <c r="V536" s="1182"/>
      <c r="W536" s="1182"/>
      <c r="X536" s="1182"/>
      <c r="Y536" s="1182"/>
    </row>
    <row r="537" spans="1:25" x14ac:dyDescent="0.2">
      <c r="A537" s="1763"/>
      <c r="B537" s="1763"/>
      <c r="C537" s="1763"/>
      <c r="D537" s="1763"/>
      <c r="E537" s="1181"/>
      <c r="R537" s="1182"/>
      <c r="S537" s="1182"/>
      <c r="T537" s="1182"/>
      <c r="U537" s="1182"/>
      <c r="V537" s="1182"/>
      <c r="W537" s="1182"/>
      <c r="X537" s="1182"/>
      <c r="Y537" s="1182"/>
    </row>
    <row r="538" spans="1:25" x14ac:dyDescent="0.2">
      <c r="A538" s="1763"/>
      <c r="B538" s="1763"/>
      <c r="C538" s="1763"/>
      <c r="D538" s="1763"/>
      <c r="E538" s="1181"/>
      <c r="R538" s="1182"/>
      <c r="S538" s="1182"/>
      <c r="T538" s="1182"/>
      <c r="U538" s="1182"/>
      <c r="V538" s="1182"/>
      <c r="W538" s="1182"/>
      <c r="X538" s="1182"/>
      <c r="Y538" s="1182"/>
    </row>
    <row r="539" spans="1:25" x14ac:dyDescent="0.2">
      <c r="A539" s="1763"/>
      <c r="B539" s="1763"/>
      <c r="C539" s="1763"/>
      <c r="D539" s="1763"/>
      <c r="E539" s="1181"/>
      <c r="R539" s="1182"/>
      <c r="S539" s="1182"/>
      <c r="T539" s="1182"/>
      <c r="U539" s="1182"/>
      <c r="V539" s="1182"/>
      <c r="W539" s="1182"/>
      <c r="X539" s="1182"/>
      <c r="Y539" s="1182"/>
    </row>
    <row r="540" spans="1:25" x14ac:dyDescent="0.2">
      <c r="A540" s="1763"/>
      <c r="B540" s="1763"/>
      <c r="C540" s="1763"/>
      <c r="D540" s="1763"/>
      <c r="E540" s="1181"/>
      <c r="R540" s="1182"/>
      <c r="S540" s="1182"/>
      <c r="T540" s="1182"/>
      <c r="U540" s="1182"/>
      <c r="V540" s="1182"/>
      <c r="W540" s="1182"/>
      <c r="X540" s="1182"/>
      <c r="Y540" s="1182"/>
    </row>
    <row r="541" spans="1:25" x14ac:dyDescent="0.2">
      <c r="A541" s="1763"/>
      <c r="B541" s="1763"/>
      <c r="C541" s="1763"/>
      <c r="D541" s="1763"/>
      <c r="E541" s="1181"/>
      <c r="R541" s="1182"/>
      <c r="S541" s="1182"/>
      <c r="T541" s="1182"/>
      <c r="U541" s="1182"/>
      <c r="V541" s="1182"/>
      <c r="W541" s="1182"/>
      <c r="X541" s="1182"/>
      <c r="Y541" s="1182"/>
    </row>
    <row r="542" spans="1:25" x14ac:dyDescent="0.2">
      <c r="A542" s="1763"/>
      <c r="B542" s="1763"/>
      <c r="C542" s="1763"/>
      <c r="D542" s="1763"/>
      <c r="E542" s="1181"/>
      <c r="R542" s="1182"/>
      <c r="S542" s="1182"/>
      <c r="T542" s="1182"/>
      <c r="U542" s="1182"/>
      <c r="V542" s="1182"/>
      <c r="W542" s="1182"/>
      <c r="X542" s="1182"/>
      <c r="Y542" s="1182"/>
    </row>
    <row r="543" spans="1:25" x14ac:dyDescent="0.2">
      <c r="A543" s="1763"/>
      <c r="B543" s="1763"/>
      <c r="C543" s="1763"/>
      <c r="D543" s="1763"/>
      <c r="E543" s="1181"/>
      <c r="R543" s="1182"/>
      <c r="S543" s="1182"/>
      <c r="T543" s="1182"/>
      <c r="U543" s="1182"/>
      <c r="V543" s="1182"/>
      <c r="W543" s="1182"/>
      <c r="X543" s="1182"/>
      <c r="Y543" s="1182"/>
    </row>
    <row r="544" spans="1:25" x14ac:dyDescent="0.2">
      <c r="A544" s="1763"/>
      <c r="B544" s="1763"/>
      <c r="C544" s="1763"/>
      <c r="D544" s="1763"/>
      <c r="E544" s="1181"/>
      <c r="R544" s="1182"/>
      <c r="S544" s="1182"/>
      <c r="T544" s="1182"/>
      <c r="U544" s="1182"/>
      <c r="V544" s="1182"/>
      <c r="W544" s="1182"/>
      <c r="X544" s="1182"/>
      <c r="Y544" s="1182"/>
    </row>
    <row r="545" spans="1:25" x14ac:dyDescent="0.2">
      <c r="A545" s="1763"/>
      <c r="B545" s="1763"/>
      <c r="C545" s="1763"/>
      <c r="D545" s="1763"/>
      <c r="E545" s="1181"/>
      <c r="R545" s="1182"/>
      <c r="S545" s="1182"/>
      <c r="T545" s="1182"/>
      <c r="U545" s="1182"/>
      <c r="V545" s="1182"/>
      <c r="W545" s="1182"/>
      <c r="X545" s="1182"/>
      <c r="Y545" s="1182"/>
    </row>
    <row r="546" spans="1:25" x14ac:dyDescent="0.2">
      <c r="A546" s="1763"/>
      <c r="B546" s="1763"/>
      <c r="C546" s="1763"/>
      <c r="D546" s="1763"/>
      <c r="E546" s="1181"/>
      <c r="R546" s="1182"/>
      <c r="S546" s="1182"/>
      <c r="T546" s="1182"/>
      <c r="U546" s="1182"/>
      <c r="V546" s="1182"/>
      <c r="W546" s="1182"/>
      <c r="X546" s="1182"/>
      <c r="Y546" s="1182"/>
    </row>
    <row r="547" spans="1:25" x14ac:dyDescent="0.2">
      <c r="A547" s="1763"/>
      <c r="B547" s="1763"/>
      <c r="C547" s="1763"/>
      <c r="D547" s="1763"/>
      <c r="E547" s="1181"/>
      <c r="R547" s="1182"/>
      <c r="S547" s="1182"/>
      <c r="T547" s="1182"/>
      <c r="U547" s="1182"/>
      <c r="V547" s="1182"/>
      <c r="W547" s="1182"/>
      <c r="X547" s="1182"/>
      <c r="Y547" s="1182"/>
    </row>
    <row r="548" spans="1:25" x14ac:dyDescent="0.2">
      <c r="A548" s="1763"/>
      <c r="B548" s="1763"/>
      <c r="C548" s="1763"/>
      <c r="D548" s="1763"/>
      <c r="E548" s="1181"/>
      <c r="R548" s="1182"/>
      <c r="S548" s="1182"/>
      <c r="T548" s="1182"/>
      <c r="U548" s="1182"/>
      <c r="V548" s="1182"/>
      <c r="W548" s="1182"/>
      <c r="X548" s="1182"/>
      <c r="Y548" s="1182"/>
    </row>
    <row r="549" spans="1:25" x14ac:dyDescent="0.2">
      <c r="A549" s="1763"/>
      <c r="B549" s="1763"/>
      <c r="C549" s="1763"/>
      <c r="D549" s="1763"/>
      <c r="E549" s="1181"/>
      <c r="R549" s="1182"/>
      <c r="S549" s="1182"/>
      <c r="T549" s="1182"/>
      <c r="U549" s="1182"/>
      <c r="V549" s="1182"/>
      <c r="W549" s="1182"/>
      <c r="X549" s="1182"/>
      <c r="Y549" s="1182"/>
    </row>
    <row r="550" spans="1:25" x14ac:dyDescent="0.2">
      <c r="A550" s="1763"/>
      <c r="B550" s="1763"/>
      <c r="C550" s="1763"/>
      <c r="D550" s="1763"/>
      <c r="E550" s="1181"/>
      <c r="R550" s="1182"/>
      <c r="S550" s="1182"/>
      <c r="T550" s="1182"/>
      <c r="U550" s="1182"/>
      <c r="V550" s="1182"/>
      <c r="W550" s="1182"/>
      <c r="X550" s="1182"/>
      <c r="Y550" s="1182"/>
    </row>
    <row r="551" spans="1:25" x14ac:dyDescent="0.2">
      <c r="A551" s="1763"/>
      <c r="B551" s="1763"/>
      <c r="C551" s="1763"/>
      <c r="D551" s="1763"/>
      <c r="E551" s="1181"/>
      <c r="R551" s="1182"/>
      <c r="S551" s="1182"/>
      <c r="T551" s="1182"/>
      <c r="U551" s="1182"/>
      <c r="V551" s="1182"/>
      <c r="W551" s="1182"/>
      <c r="X551" s="1182"/>
      <c r="Y551" s="1182"/>
    </row>
    <row r="552" spans="1:25" x14ac:dyDescent="0.2">
      <c r="A552" s="1763"/>
      <c r="B552" s="1763"/>
      <c r="C552" s="1763"/>
      <c r="D552" s="1763"/>
      <c r="E552" s="1181"/>
      <c r="R552" s="1182"/>
      <c r="S552" s="1182"/>
      <c r="T552" s="1182"/>
      <c r="U552" s="1182"/>
      <c r="V552" s="1182"/>
      <c r="W552" s="1182"/>
      <c r="X552" s="1182"/>
      <c r="Y552" s="1182"/>
    </row>
    <row r="553" spans="1:25" x14ac:dyDescent="0.2">
      <c r="A553" s="1763"/>
      <c r="B553" s="1763"/>
      <c r="C553" s="1763"/>
      <c r="D553" s="1763"/>
      <c r="E553" s="1181"/>
      <c r="R553" s="1182"/>
      <c r="S553" s="1182"/>
      <c r="T553" s="1182"/>
      <c r="U553" s="1182"/>
      <c r="V553" s="1182"/>
      <c r="W553" s="1182"/>
      <c r="X553" s="1182"/>
      <c r="Y553" s="1182"/>
    </row>
    <row r="554" spans="1:25" x14ac:dyDescent="0.2">
      <c r="A554" s="1763"/>
      <c r="B554" s="1763"/>
      <c r="C554" s="1763"/>
      <c r="D554" s="1763"/>
      <c r="E554" s="1181"/>
      <c r="R554" s="1182"/>
      <c r="S554" s="1182"/>
      <c r="T554" s="1182"/>
      <c r="U554" s="1182"/>
      <c r="V554" s="1182"/>
      <c r="W554" s="1182"/>
      <c r="X554" s="1182"/>
      <c r="Y554" s="1182"/>
    </row>
    <row r="555" spans="1:25" x14ac:dyDescent="0.2">
      <c r="A555" s="1763"/>
      <c r="B555" s="1763"/>
      <c r="C555" s="1763"/>
      <c r="D555" s="1763"/>
      <c r="E555" s="1181"/>
      <c r="R555" s="1182"/>
      <c r="S555" s="1182"/>
      <c r="T555" s="1182"/>
      <c r="U555" s="1182"/>
      <c r="V555" s="1182"/>
      <c r="W555" s="1182"/>
      <c r="X555" s="1182"/>
      <c r="Y555" s="1182"/>
    </row>
    <row r="556" spans="1:25" x14ac:dyDescent="0.2">
      <c r="A556" s="1763"/>
      <c r="B556" s="1763"/>
      <c r="C556" s="1763"/>
      <c r="D556" s="1763"/>
      <c r="E556" s="1181"/>
      <c r="R556" s="1182"/>
      <c r="S556" s="1182"/>
      <c r="T556" s="1182"/>
      <c r="U556" s="1182"/>
      <c r="V556" s="1182"/>
      <c r="W556" s="1182"/>
      <c r="X556" s="1182"/>
      <c r="Y556" s="1182"/>
    </row>
    <row r="557" spans="1:25" x14ac:dyDescent="0.2">
      <c r="A557" s="1763"/>
      <c r="B557" s="1763"/>
      <c r="C557" s="1763"/>
      <c r="D557" s="1763"/>
      <c r="E557" s="1181"/>
      <c r="R557" s="1182"/>
      <c r="S557" s="1182"/>
      <c r="T557" s="1182"/>
      <c r="U557" s="1182"/>
      <c r="V557" s="1182"/>
      <c r="W557" s="1182"/>
      <c r="X557" s="1182"/>
      <c r="Y557" s="1182"/>
    </row>
    <row r="558" spans="1:25" x14ac:dyDescent="0.2">
      <c r="A558" s="1763"/>
      <c r="B558" s="1763"/>
      <c r="C558" s="1763"/>
      <c r="D558" s="1763"/>
      <c r="E558" s="1181"/>
      <c r="R558" s="1182"/>
      <c r="S558" s="1182"/>
      <c r="T558" s="1182"/>
      <c r="U558" s="1182"/>
      <c r="V558" s="1182"/>
      <c r="W558" s="1182"/>
      <c r="X558" s="1182"/>
      <c r="Y558" s="1182"/>
    </row>
    <row r="559" spans="1:25" x14ac:dyDescent="0.2">
      <c r="A559" s="1763"/>
      <c r="B559" s="1763"/>
      <c r="C559" s="1763"/>
      <c r="D559" s="1763"/>
      <c r="E559" s="1181"/>
      <c r="R559" s="1182"/>
      <c r="S559" s="1182"/>
      <c r="T559" s="1182"/>
      <c r="U559" s="1182"/>
      <c r="V559" s="1182"/>
      <c r="W559" s="1182"/>
      <c r="X559" s="1182"/>
      <c r="Y559" s="1182"/>
    </row>
    <row r="560" spans="1:25" x14ac:dyDescent="0.2">
      <c r="A560" s="1763"/>
      <c r="B560" s="1763"/>
      <c r="C560" s="1763"/>
      <c r="D560" s="1763"/>
      <c r="E560" s="1181"/>
      <c r="R560" s="1182"/>
      <c r="S560" s="1182"/>
      <c r="T560" s="1182"/>
      <c r="U560" s="1182"/>
      <c r="V560" s="1182"/>
      <c r="W560" s="1182"/>
      <c r="X560" s="1182"/>
      <c r="Y560" s="1182"/>
    </row>
    <row r="561" spans="1:25" x14ac:dyDescent="0.2">
      <c r="A561" s="1763"/>
      <c r="B561" s="1763"/>
      <c r="C561" s="1763"/>
      <c r="D561" s="1763"/>
      <c r="E561" s="1181"/>
      <c r="R561" s="1182"/>
      <c r="S561" s="1182"/>
      <c r="T561" s="1182"/>
      <c r="U561" s="1182"/>
      <c r="V561" s="1182"/>
      <c r="W561" s="1182"/>
      <c r="X561" s="1182"/>
      <c r="Y561" s="1182"/>
    </row>
    <row r="562" spans="1:25" x14ac:dyDescent="0.2">
      <c r="A562" s="1763"/>
      <c r="B562" s="1763"/>
      <c r="C562" s="1763"/>
      <c r="D562" s="1763"/>
      <c r="E562" s="1181"/>
      <c r="R562" s="1182"/>
      <c r="S562" s="1182"/>
      <c r="T562" s="1182"/>
      <c r="U562" s="1182"/>
      <c r="V562" s="1182"/>
      <c r="W562" s="1182"/>
      <c r="X562" s="1182"/>
      <c r="Y562" s="1182"/>
    </row>
    <row r="563" spans="1:25" x14ac:dyDescent="0.2">
      <c r="A563" s="1763"/>
      <c r="B563" s="1763"/>
      <c r="C563" s="1763"/>
      <c r="D563" s="1763"/>
      <c r="E563" s="1181"/>
      <c r="R563" s="1182"/>
      <c r="S563" s="1182"/>
      <c r="T563" s="1182"/>
      <c r="U563" s="1182"/>
      <c r="V563" s="1182"/>
      <c r="W563" s="1182"/>
      <c r="X563" s="1182"/>
      <c r="Y563" s="1182"/>
    </row>
    <row r="564" spans="1:25" x14ac:dyDescent="0.2">
      <c r="A564" s="1763"/>
      <c r="B564" s="1763"/>
      <c r="C564" s="1763"/>
      <c r="D564" s="1763"/>
      <c r="E564" s="1181"/>
      <c r="R564" s="1182"/>
      <c r="S564" s="1182"/>
      <c r="T564" s="1182"/>
      <c r="U564" s="1182"/>
      <c r="V564" s="1182"/>
      <c r="W564" s="1182"/>
      <c r="X564" s="1182"/>
      <c r="Y564" s="1182"/>
    </row>
    <row r="565" spans="1:25" x14ac:dyDescent="0.2">
      <c r="A565" s="1763"/>
      <c r="B565" s="1763"/>
      <c r="C565" s="1763"/>
      <c r="D565" s="1763"/>
      <c r="E565" s="1181"/>
      <c r="R565" s="1182"/>
      <c r="S565" s="1182"/>
      <c r="T565" s="1182"/>
      <c r="U565" s="1182"/>
      <c r="V565" s="1182"/>
      <c r="W565" s="1182"/>
      <c r="X565" s="1182"/>
      <c r="Y565" s="1182"/>
    </row>
    <row r="566" spans="1:25" x14ac:dyDescent="0.2">
      <c r="A566" s="1763"/>
      <c r="B566" s="1763"/>
      <c r="C566" s="1763"/>
      <c r="D566" s="1763"/>
      <c r="E566" s="1181"/>
      <c r="R566" s="1182"/>
      <c r="S566" s="1182"/>
      <c r="T566" s="1182"/>
      <c r="U566" s="1182"/>
      <c r="V566" s="1182"/>
      <c r="W566" s="1182"/>
      <c r="X566" s="1182"/>
      <c r="Y566" s="1182"/>
    </row>
    <row r="567" spans="1:25" x14ac:dyDescent="0.2">
      <c r="A567" s="1763"/>
      <c r="B567" s="1763"/>
      <c r="C567" s="1763"/>
      <c r="D567" s="1763"/>
      <c r="E567" s="1181"/>
      <c r="R567" s="1182"/>
      <c r="S567" s="1182"/>
      <c r="T567" s="1182"/>
      <c r="U567" s="1182"/>
      <c r="V567" s="1182"/>
      <c r="W567" s="1182"/>
      <c r="X567" s="1182"/>
      <c r="Y567" s="1182"/>
    </row>
    <row r="568" spans="1:25" x14ac:dyDescent="0.2">
      <c r="A568" s="1763"/>
      <c r="B568" s="1763"/>
      <c r="C568" s="1763"/>
      <c r="D568" s="1763"/>
      <c r="E568" s="1181"/>
      <c r="R568" s="1182"/>
      <c r="S568" s="1182"/>
      <c r="T568" s="1182"/>
      <c r="U568" s="1182"/>
      <c r="V568" s="1182"/>
      <c r="W568" s="1182"/>
      <c r="X568" s="1182"/>
      <c r="Y568" s="1182"/>
    </row>
    <row r="569" spans="1:25" x14ac:dyDescent="0.2">
      <c r="A569" s="1763"/>
      <c r="B569" s="1763"/>
      <c r="C569" s="1763"/>
      <c r="D569" s="1763"/>
      <c r="E569" s="1181"/>
      <c r="R569" s="1182"/>
      <c r="S569" s="1182"/>
      <c r="T569" s="1182"/>
      <c r="U569" s="1182"/>
      <c r="V569" s="1182"/>
      <c r="W569" s="1182"/>
      <c r="X569" s="1182"/>
      <c r="Y569" s="1182"/>
    </row>
    <row r="570" spans="1:25" x14ac:dyDescent="0.2">
      <c r="A570" s="1763"/>
      <c r="B570" s="1763"/>
      <c r="C570" s="1763"/>
      <c r="D570" s="1763"/>
      <c r="E570" s="1181"/>
      <c r="R570" s="1182"/>
      <c r="S570" s="1182"/>
      <c r="T570" s="1182"/>
      <c r="U570" s="1182"/>
      <c r="V570" s="1182"/>
      <c r="W570" s="1182"/>
      <c r="X570" s="1182"/>
      <c r="Y570" s="1182"/>
    </row>
    <row r="571" spans="1:25" x14ac:dyDescent="0.2">
      <c r="A571" s="1763"/>
      <c r="B571" s="1763"/>
      <c r="C571" s="1763"/>
      <c r="D571" s="1763"/>
      <c r="E571" s="1181"/>
      <c r="R571" s="1182"/>
      <c r="S571" s="1182"/>
      <c r="T571" s="1182"/>
      <c r="U571" s="1182"/>
      <c r="V571" s="1182"/>
      <c r="W571" s="1182"/>
      <c r="X571" s="1182"/>
      <c r="Y571" s="1182"/>
    </row>
    <row r="572" spans="1:25" x14ac:dyDescent="0.2">
      <c r="A572" s="1763"/>
      <c r="B572" s="1763"/>
      <c r="C572" s="1763"/>
      <c r="D572" s="1763"/>
      <c r="E572" s="1181"/>
      <c r="R572" s="1182"/>
      <c r="S572" s="1182"/>
      <c r="T572" s="1182"/>
      <c r="U572" s="1182"/>
      <c r="V572" s="1182"/>
      <c r="W572" s="1182"/>
      <c r="X572" s="1182"/>
      <c r="Y572" s="1182"/>
    </row>
    <row r="573" spans="1:25" x14ac:dyDescent="0.2">
      <c r="A573" s="1763"/>
      <c r="B573" s="1763"/>
      <c r="C573" s="1763"/>
      <c r="D573" s="1763"/>
      <c r="E573" s="1181"/>
      <c r="R573" s="1182"/>
      <c r="S573" s="1182"/>
      <c r="T573" s="1182"/>
      <c r="U573" s="1182"/>
      <c r="V573" s="1182"/>
      <c r="W573" s="1182"/>
      <c r="X573" s="1182"/>
      <c r="Y573" s="1182"/>
    </row>
    <row r="574" spans="1:25" x14ac:dyDescent="0.2">
      <c r="A574" s="1763"/>
      <c r="B574" s="1763"/>
      <c r="C574" s="1763"/>
      <c r="D574" s="1763"/>
      <c r="E574" s="1181"/>
      <c r="R574" s="1182"/>
      <c r="S574" s="1182"/>
      <c r="T574" s="1182"/>
      <c r="U574" s="1182"/>
      <c r="V574" s="1182"/>
      <c r="W574" s="1182"/>
      <c r="X574" s="1182"/>
      <c r="Y574" s="1182"/>
    </row>
    <row r="575" spans="1:25" x14ac:dyDescent="0.2">
      <c r="A575" s="1763"/>
      <c r="B575" s="1763"/>
      <c r="C575" s="1763"/>
      <c r="D575" s="1763"/>
      <c r="E575" s="1181"/>
      <c r="R575" s="1182"/>
      <c r="S575" s="1182"/>
      <c r="T575" s="1182"/>
      <c r="U575" s="1182"/>
      <c r="V575" s="1182"/>
      <c r="W575" s="1182"/>
      <c r="X575" s="1182"/>
      <c r="Y575" s="1182"/>
    </row>
    <row r="576" spans="1:25" x14ac:dyDescent="0.2">
      <c r="A576" s="1763"/>
      <c r="B576" s="1763"/>
      <c r="C576" s="1763"/>
      <c r="D576" s="1763"/>
      <c r="E576" s="1181"/>
      <c r="R576" s="1182"/>
      <c r="S576" s="1182"/>
      <c r="T576" s="1182"/>
      <c r="U576" s="1182"/>
      <c r="V576" s="1182"/>
      <c r="W576" s="1182"/>
      <c r="X576" s="1182"/>
      <c r="Y576" s="1182"/>
    </row>
    <row r="577" spans="1:25" x14ac:dyDescent="0.2">
      <c r="A577" s="1763"/>
      <c r="B577" s="1763"/>
      <c r="C577" s="1763"/>
      <c r="D577" s="1763"/>
      <c r="E577" s="1181"/>
      <c r="R577" s="1182"/>
      <c r="S577" s="1182"/>
      <c r="T577" s="1182"/>
      <c r="U577" s="1182"/>
      <c r="V577" s="1182"/>
      <c r="W577" s="1182"/>
      <c r="X577" s="1182"/>
      <c r="Y577" s="1182"/>
    </row>
    <row r="578" spans="1:25" x14ac:dyDescent="0.2">
      <c r="A578" s="1763"/>
      <c r="B578" s="1763"/>
      <c r="C578" s="1763"/>
      <c r="D578" s="1763"/>
      <c r="E578" s="1181"/>
      <c r="R578" s="1182"/>
      <c r="S578" s="1182"/>
      <c r="T578" s="1182"/>
      <c r="U578" s="1182"/>
      <c r="V578" s="1182"/>
      <c r="W578" s="1182"/>
      <c r="X578" s="1182"/>
      <c r="Y578" s="1182"/>
    </row>
    <row r="579" spans="1:25" x14ac:dyDescent="0.2">
      <c r="A579" s="1763"/>
      <c r="B579" s="1763"/>
      <c r="C579" s="1763"/>
      <c r="D579" s="1763"/>
      <c r="E579" s="1181"/>
      <c r="R579" s="1182"/>
      <c r="S579" s="1182"/>
      <c r="T579" s="1182"/>
      <c r="U579" s="1182"/>
      <c r="V579" s="1182"/>
      <c r="W579" s="1182"/>
      <c r="X579" s="1182"/>
      <c r="Y579" s="1182"/>
    </row>
    <row r="580" spans="1:25" x14ac:dyDescent="0.2">
      <c r="A580" s="1763"/>
      <c r="B580" s="1763"/>
      <c r="C580" s="1763"/>
      <c r="D580" s="1763"/>
      <c r="E580" s="1181"/>
      <c r="R580" s="1182"/>
      <c r="S580" s="1182"/>
      <c r="T580" s="1182"/>
      <c r="U580" s="1182"/>
      <c r="V580" s="1182"/>
      <c r="W580" s="1182"/>
      <c r="X580" s="1182"/>
      <c r="Y580" s="1182"/>
    </row>
    <row r="581" spans="1:25" x14ac:dyDescent="0.2">
      <c r="A581" s="1763"/>
      <c r="B581" s="1763"/>
      <c r="C581" s="1763"/>
      <c r="D581" s="1763"/>
      <c r="E581" s="1181"/>
      <c r="R581" s="1182"/>
      <c r="S581" s="1182"/>
      <c r="T581" s="1182"/>
      <c r="U581" s="1182"/>
      <c r="V581" s="1182"/>
      <c r="W581" s="1182"/>
      <c r="X581" s="1182"/>
      <c r="Y581" s="1182"/>
    </row>
    <row r="582" spans="1:25" x14ac:dyDescent="0.2">
      <c r="A582" s="1763"/>
      <c r="B582" s="1763"/>
      <c r="C582" s="1763"/>
      <c r="D582" s="1763"/>
      <c r="E582" s="1181"/>
      <c r="R582" s="1182"/>
      <c r="S582" s="1182"/>
      <c r="T582" s="1182"/>
      <c r="U582" s="1182"/>
      <c r="V582" s="1182"/>
      <c r="W582" s="1182"/>
      <c r="X582" s="1182"/>
      <c r="Y582" s="1182"/>
    </row>
    <row r="583" spans="1:25" x14ac:dyDescent="0.2">
      <c r="A583" s="1763"/>
      <c r="B583" s="1763"/>
      <c r="C583" s="1763"/>
      <c r="D583" s="1763"/>
      <c r="E583" s="1181"/>
      <c r="R583" s="1182"/>
      <c r="S583" s="1182"/>
      <c r="T583" s="1182"/>
      <c r="U583" s="1182"/>
      <c r="V583" s="1182"/>
      <c r="W583" s="1182"/>
      <c r="X583" s="1182"/>
      <c r="Y583" s="1182"/>
    </row>
    <row r="584" spans="1:25" x14ac:dyDescent="0.2">
      <c r="A584" s="1763"/>
      <c r="B584" s="1763"/>
      <c r="C584" s="1763"/>
      <c r="D584" s="1763"/>
      <c r="E584" s="1181"/>
      <c r="R584" s="1182"/>
      <c r="S584" s="1182"/>
      <c r="T584" s="1182"/>
      <c r="U584" s="1182"/>
      <c r="V584" s="1182"/>
      <c r="W584" s="1182"/>
      <c r="X584" s="1182"/>
      <c r="Y584" s="1182"/>
    </row>
    <row r="585" spans="1:25" x14ac:dyDescent="0.2">
      <c r="A585" s="1763"/>
      <c r="B585" s="1763"/>
      <c r="C585" s="1763"/>
      <c r="D585" s="1763"/>
      <c r="E585" s="1181"/>
      <c r="R585" s="1182"/>
      <c r="S585" s="1182"/>
      <c r="T585" s="1182"/>
      <c r="U585" s="1182"/>
      <c r="V585" s="1182"/>
      <c r="W585" s="1182"/>
      <c r="X585" s="1182"/>
      <c r="Y585" s="1182"/>
    </row>
    <row r="586" spans="1:25" x14ac:dyDescent="0.2">
      <c r="A586" s="1763"/>
      <c r="B586" s="1763"/>
      <c r="C586" s="1763"/>
      <c r="D586" s="1763"/>
      <c r="E586" s="1181"/>
      <c r="R586" s="1182"/>
      <c r="S586" s="1182"/>
      <c r="T586" s="1182"/>
      <c r="U586" s="1182"/>
      <c r="V586" s="1182"/>
      <c r="W586" s="1182"/>
      <c r="X586" s="1182"/>
      <c r="Y586" s="1182"/>
    </row>
    <row r="587" spans="1:25" x14ac:dyDescent="0.2">
      <c r="A587" s="1763"/>
      <c r="B587" s="1763"/>
      <c r="C587" s="1763"/>
      <c r="D587" s="1763"/>
      <c r="E587" s="1181"/>
      <c r="R587" s="1182"/>
      <c r="S587" s="1182"/>
      <c r="T587" s="1182"/>
      <c r="U587" s="1182"/>
      <c r="V587" s="1182"/>
      <c r="W587" s="1182"/>
      <c r="X587" s="1182"/>
      <c r="Y587" s="1182"/>
    </row>
    <row r="588" spans="1:25" x14ac:dyDescent="0.2">
      <c r="A588" s="1763"/>
      <c r="B588" s="1763"/>
      <c r="C588" s="1763"/>
      <c r="D588" s="1763"/>
      <c r="E588" s="1181"/>
      <c r="R588" s="1182"/>
      <c r="S588" s="1182"/>
      <c r="T588" s="1182"/>
      <c r="U588" s="1182"/>
      <c r="V588" s="1182"/>
      <c r="W588" s="1182"/>
      <c r="X588" s="1182"/>
      <c r="Y588" s="1182"/>
    </row>
    <row r="589" spans="1:25" x14ac:dyDescent="0.2">
      <c r="A589" s="1763"/>
      <c r="B589" s="1763"/>
      <c r="C589" s="1763"/>
      <c r="D589" s="1763"/>
      <c r="E589" s="1181"/>
      <c r="R589" s="1182"/>
      <c r="S589" s="1182"/>
      <c r="T589" s="1182"/>
      <c r="U589" s="1182"/>
      <c r="V589" s="1182"/>
      <c r="W589" s="1182"/>
      <c r="X589" s="1182"/>
      <c r="Y589" s="1182"/>
    </row>
    <row r="590" spans="1:25" x14ac:dyDescent="0.2">
      <c r="A590" s="1763"/>
      <c r="B590" s="1763"/>
      <c r="C590" s="1763"/>
      <c r="D590" s="1763"/>
      <c r="E590" s="1181"/>
      <c r="R590" s="1182"/>
      <c r="S590" s="1182"/>
      <c r="T590" s="1182"/>
      <c r="U590" s="1182"/>
      <c r="V590" s="1182"/>
      <c r="W590" s="1182"/>
      <c r="X590" s="1182"/>
      <c r="Y590" s="1182"/>
    </row>
    <row r="591" spans="1:25" x14ac:dyDescent="0.2">
      <c r="A591" s="1763"/>
      <c r="B591" s="1763"/>
      <c r="C591" s="1763"/>
      <c r="D591" s="1763"/>
      <c r="E591" s="1181"/>
      <c r="R591" s="1182"/>
      <c r="S591" s="1182"/>
      <c r="T591" s="1182"/>
      <c r="U591" s="1182"/>
      <c r="V591" s="1182"/>
      <c r="W591" s="1182"/>
      <c r="X591" s="1182"/>
      <c r="Y591" s="1182"/>
    </row>
    <row r="592" spans="1:25" x14ac:dyDescent="0.2">
      <c r="A592" s="1763"/>
      <c r="B592" s="1763"/>
      <c r="C592" s="1763"/>
      <c r="D592" s="1763"/>
      <c r="E592" s="1181"/>
      <c r="R592" s="1182"/>
      <c r="S592" s="1182"/>
      <c r="T592" s="1182"/>
      <c r="U592" s="1182"/>
      <c r="V592" s="1182"/>
      <c r="W592" s="1182"/>
      <c r="X592" s="1182"/>
      <c r="Y592" s="1182"/>
    </row>
    <row r="593" spans="1:25" x14ac:dyDescent="0.2">
      <c r="A593" s="1763"/>
      <c r="B593" s="1763"/>
      <c r="C593" s="1763"/>
      <c r="D593" s="1763"/>
      <c r="E593" s="1181"/>
      <c r="R593" s="1182"/>
      <c r="S593" s="1182"/>
      <c r="T593" s="1182"/>
      <c r="U593" s="1182"/>
      <c r="V593" s="1182"/>
      <c r="W593" s="1182"/>
      <c r="X593" s="1182"/>
      <c r="Y593" s="1182"/>
    </row>
    <row r="594" spans="1:25" x14ac:dyDescent="0.2">
      <c r="A594" s="1763"/>
      <c r="B594" s="1763"/>
      <c r="C594" s="1763"/>
      <c r="D594" s="1763"/>
      <c r="E594" s="1181"/>
      <c r="R594" s="1182"/>
      <c r="S594" s="1182"/>
      <c r="T594" s="1182"/>
      <c r="U594" s="1182"/>
      <c r="V594" s="1182"/>
      <c r="W594" s="1182"/>
      <c r="X594" s="1182"/>
      <c r="Y594" s="1182"/>
    </row>
    <row r="595" spans="1:25" x14ac:dyDescent="0.2">
      <c r="A595" s="1763"/>
      <c r="B595" s="1763"/>
      <c r="C595" s="1763"/>
      <c r="D595" s="1763"/>
      <c r="E595" s="1181"/>
      <c r="R595" s="1182"/>
      <c r="S595" s="1182"/>
      <c r="T595" s="1182"/>
      <c r="U595" s="1182"/>
      <c r="V595" s="1182"/>
      <c r="W595" s="1182"/>
      <c r="X595" s="1182"/>
      <c r="Y595" s="1182"/>
    </row>
    <row r="596" spans="1:25" x14ac:dyDescent="0.2">
      <c r="A596" s="1763"/>
      <c r="B596" s="1763"/>
      <c r="C596" s="1763"/>
      <c r="D596" s="1763"/>
      <c r="E596" s="1181"/>
      <c r="R596" s="1182"/>
      <c r="S596" s="1182"/>
      <c r="T596" s="1182"/>
      <c r="U596" s="1182"/>
      <c r="V596" s="1182"/>
      <c r="W596" s="1182"/>
      <c r="X596" s="1182"/>
      <c r="Y596" s="1182"/>
    </row>
    <row r="597" spans="1:25" x14ac:dyDescent="0.2">
      <c r="A597" s="1763"/>
      <c r="B597" s="1763"/>
      <c r="C597" s="1763"/>
      <c r="D597" s="1763"/>
      <c r="E597" s="1181"/>
      <c r="R597" s="1182"/>
      <c r="S597" s="1182"/>
      <c r="T597" s="1182"/>
      <c r="U597" s="1182"/>
      <c r="V597" s="1182"/>
      <c r="W597" s="1182"/>
      <c r="X597" s="1182"/>
      <c r="Y597" s="1182"/>
    </row>
    <row r="598" spans="1:25" x14ac:dyDescent="0.2">
      <c r="A598" s="1763"/>
      <c r="B598" s="1763"/>
      <c r="C598" s="1763"/>
      <c r="D598" s="1763"/>
      <c r="E598" s="1181"/>
      <c r="R598" s="1182"/>
      <c r="S598" s="1182"/>
      <c r="T598" s="1182"/>
      <c r="U598" s="1182"/>
      <c r="V598" s="1182"/>
      <c r="W598" s="1182"/>
      <c r="X598" s="1182"/>
      <c r="Y598" s="1182"/>
    </row>
    <row r="599" spans="1:25" x14ac:dyDescent="0.2">
      <c r="A599" s="1763"/>
      <c r="B599" s="1763"/>
      <c r="C599" s="1763"/>
      <c r="D599" s="1763"/>
      <c r="E599" s="1181"/>
      <c r="R599" s="1182"/>
      <c r="S599" s="1182"/>
      <c r="T599" s="1182"/>
      <c r="U599" s="1182"/>
      <c r="V599" s="1182"/>
      <c r="W599" s="1182"/>
      <c r="X599" s="1182"/>
      <c r="Y599" s="1182"/>
    </row>
    <row r="600" spans="1:25" x14ac:dyDescent="0.2">
      <c r="A600" s="1763"/>
      <c r="B600" s="1763"/>
      <c r="C600" s="1763"/>
      <c r="D600" s="1763"/>
      <c r="E600" s="1181"/>
      <c r="R600" s="1182"/>
      <c r="S600" s="1182"/>
      <c r="T600" s="1182"/>
      <c r="U600" s="1182"/>
      <c r="V600" s="1182"/>
      <c r="W600" s="1182"/>
      <c r="X600" s="1182"/>
      <c r="Y600" s="1182"/>
    </row>
    <row r="601" spans="1:25" x14ac:dyDescent="0.2">
      <c r="A601" s="1763"/>
      <c r="B601" s="1763"/>
      <c r="C601" s="1763"/>
      <c r="D601" s="1763"/>
      <c r="E601" s="1181"/>
      <c r="R601" s="1182"/>
      <c r="S601" s="1182"/>
      <c r="T601" s="1182"/>
      <c r="U601" s="1182"/>
      <c r="V601" s="1182"/>
      <c r="W601" s="1182"/>
      <c r="X601" s="1182"/>
      <c r="Y601" s="1182"/>
    </row>
    <row r="602" spans="1:25" x14ac:dyDescent="0.2">
      <c r="A602" s="1763"/>
      <c r="B602" s="1763"/>
      <c r="C602" s="1763"/>
      <c r="D602" s="1763"/>
      <c r="E602" s="1181"/>
      <c r="R602" s="1182"/>
      <c r="S602" s="1182"/>
      <c r="T602" s="1182"/>
      <c r="U602" s="1182"/>
      <c r="V602" s="1182"/>
      <c r="W602" s="1182"/>
      <c r="X602" s="1182"/>
      <c r="Y602" s="1182"/>
    </row>
    <row r="603" spans="1:25" x14ac:dyDescent="0.2">
      <c r="A603" s="1763"/>
      <c r="B603" s="1763"/>
      <c r="C603" s="1763"/>
      <c r="D603" s="1763"/>
      <c r="E603" s="1181"/>
      <c r="R603" s="1182"/>
      <c r="S603" s="1182"/>
      <c r="T603" s="1182"/>
      <c r="U603" s="1182"/>
      <c r="V603" s="1182"/>
      <c r="W603" s="1182"/>
      <c r="X603" s="1182"/>
      <c r="Y603" s="1182"/>
    </row>
    <row r="604" spans="1:25" x14ac:dyDescent="0.2">
      <c r="A604" s="1763"/>
      <c r="B604" s="1763"/>
      <c r="C604" s="1763"/>
      <c r="D604" s="1763"/>
      <c r="E604" s="1181"/>
      <c r="R604" s="1182"/>
      <c r="S604" s="1182"/>
      <c r="T604" s="1182"/>
      <c r="U604" s="1182"/>
      <c r="V604" s="1182"/>
      <c r="W604" s="1182"/>
      <c r="X604" s="1182"/>
      <c r="Y604" s="1182"/>
    </row>
    <row r="605" spans="1:25" x14ac:dyDescent="0.2">
      <c r="A605" s="1763"/>
      <c r="B605" s="1763"/>
      <c r="C605" s="1763"/>
      <c r="D605" s="1763"/>
      <c r="E605" s="1181"/>
      <c r="R605" s="1182"/>
      <c r="S605" s="1182"/>
      <c r="T605" s="1182"/>
      <c r="U605" s="1182"/>
      <c r="V605" s="1182"/>
      <c r="W605" s="1182"/>
      <c r="X605" s="1182"/>
      <c r="Y605" s="1182"/>
    </row>
    <row r="606" spans="1:25" x14ac:dyDescent="0.2">
      <c r="A606" s="1763"/>
      <c r="B606" s="1763"/>
      <c r="C606" s="1763"/>
      <c r="D606" s="1763"/>
      <c r="E606" s="1181"/>
      <c r="R606" s="1182"/>
      <c r="S606" s="1182"/>
      <c r="T606" s="1182"/>
      <c r="U606" s="1182"/>
      <c r="V606" s="1182"/>
      <c r="W606" s="1182"/>
      <c r="X606" s="1182"/>
      <c r="Y606" s="1182"/>
    </row>
    <row r="607" spans="1:25" x14ac:dyDescent="0.2">
      <c r="A607" s="1763"/>
      <c r="B607" s="1763"/>
      <c r="C607" s="1763"/>
      <c r="D607" s="1763"/>
      <c r="E607" s="1181"/>
      <c r="R607" s="1182"/>
      <c r="S607" s="1182"/>
      <c r="T607" s="1182"/>
      <c r="U607" s="1182"/>
      <c r="V607" s="1182"/>
      <c r="W607" s="1182"/>
      <c r="X607" s="1182"/>
      <c r="Y607" s="1182"/>
    </row>
    <row r="608" spans="1:25" x14ac:dyDescent="0.2">
      <c r="A608" s="1763"/>
      <c r="B608" s="1763"/>
      <c r="C608" s="1763"/>
      <c r="D608" s="1763"/>
      <c r="E608" s="1181"/>
      <c r="R608" s="1182"/>
      <c r="S608" s="1182"/>
      <c r="T608" s="1182"/>
      <c r="U608" s="1182"/>
      <c r="V608" s="1182"/>
      <c r="W608" s="1182"/>
      <c r="X608" s="1182"/>
      <c r="Y608" s="1182"/>
    </row>
    <row r="609" spans="1:25" x14ac:dyDescent="0.2">
      <c r="A609" s="1763"/>
      <c r="B609" s="1763"/>
      <c r="C609" s="1763"/>
      <c r="D609" s="1763"/>
      <c r="E609" s="1181"/>
      <c r="R609" s="1182"/>
      <c r="S609" s="1182"/>
      <c r="T609" s="1182"/>
      <c r="U609" s="1182"/>
      <c r="V609" s="1182"/>
      <c r="W609" s="1182"/>
      <c r="X609" s="1182"/>
      <c r="Y609" s="1182"/>
    </row>
    <row r="610" spans="1:25" x14ac:dyDescent="0.2">
      <c r="A610" s="1763"/>
      <c r="B610" s="1763"/>
      <c r="C610" s="1763"/>
      <c r="D610" s="1763"/>
      <c r="E610" s="1181"/>
      <c r="R610" s="1182"/>
      <c r="S610" s="1182"/>
      <c r="T610" s="1182"/>
      <c r="U610" s="1182"/>
      <c r="V610" s="1182"/>
      <c r="W610" s="1182"/>
      <c r="X610" s="1182"/>
      <c r="Y610" s="1182"/>
    </row>
    <row r="611" spans="1:25" x14ac:dyDescent="0.2">
      <c r="A611" s="1763"/>
      <c r="B611" s="1763"/>
      <c r="C611" s="1763"/>
      <c r="D611" s="1763"/>
      <c r="E611" s="1181"/>
      <c r="R611" s="1182"/>
      <c r="S611" s="1182"/>
      <c r="T611" s="1182"/>
      <c r="U611" s="1182"/>
      <c r="V611" s="1182"/>
      <c r="W611" s="1182"/>
      <c r="X611" s="1182"/>
      <c r="Y611" s="1182"/>
    </row>
    <row r="612" spans="1:25" x14ac:dyDescent="0.2">
      <c r="A612" s="1763"/>
      <c r="B612" s="1763"/>
      <c r="C612" s="1763"/>
      <c r="D612" s="1763"/>
      <c r="E612" s="1181"/>
      <c r="R612" s="1182"/>
      <c r="S612" s="1182"/>
      <c r="T612" s="1182"/>
      <c r="U612" s="1182"/>
      <c r="V612" s="1182"/>
      <c r="W612" s="1182"/>
      <c r="X612" s="1182"/>
      <c r="Y612" s="1182"/>
    </row>
    <row r="613" spans="1:25" x14ac:dyDescent="0.2">
      <c r="A613" s="1763"/>
      <c r="B613" s="1763"/>
      <c r="C613" s="1763"/>
      <c r="D613" s="1763"/>
      <c r="E613" s="1181"/>
      <c r="R613" s="1182"/>
      <c r="S613" s="1182"/>
      <c r="T613" s="1182"/>
      <c r="U613" s="1182"/>
      <c r="V613" s="1182"/>
      <c r="W613" s="1182"/>
      <c r="X613" s="1182"/>
      <c r="Y613" s="1182"/>
    </row>
    <row r="614" spans="1:25" x14ac:dyDescent="0.2">
      <c r="A614" s="1763"/>
      <c r="B614" s="1763"/>
      <c r="C614" s="1763"/>
      <c r="D614" s="1763"/>
      <c r="E614" s="1181"/>
      <c r="R614" s="1182"/>
      <c r="S614" s="1182"/>
      <c r="T614" s="1182"/>
      <c r="U614" s="1182"/>
      <c r="V614" s="1182"/>
      <c r="W614" s="1182"/>
      <c r="X614" s="1182"/>
      <c r="Y614" s="1182"/>
    </row>
    <row r="615" spans="1:25" x14ac:dyDescent="0.2">
      <c r="A615" s="1763"/>
      <c r="B615" s="1763"/>
      <c r="C615" s="1763"/>
      <c r="D615" s="1763"/>
      <c r="E615" s="1181"/>
      <c r="R615" s="1182"/>
      <c r="S615" s="1182"/>
      <c r="T615" s="1182"/>
      <c r="U615" s="1182"/>
      <c r="V615" s="1182"/>
      <c r="W615" s="1182"/>
      <c r="X615" s="1182"/>
      <c r="Y615" s="1182"/>
    </row>
    <row r="616" spans="1:25" x14ac:dyDescent="0.2">
      <c r="A616" s="1763"/>
      <c r="B616" s="1763"/>
      <c r="C616" s="1763"/>
      <c r="D616" s="1763"/>
      <c r="E616" s="1181"/>
      <c r="R616" s="1182"/>
      <c r="S616" s="1182"/>
      <c r="T616" s="1182"/>
      <c r="U616" s="1182"/>
      <c r="V616" s="1182"/>
      <c r="W616" s="1182"/>
      <c r="X616" s="1182"/>
      <c r="Y616" s="1182"/>
    </row>
    <row r="617" spans="1:25" x14ac:dyDescent="0.2">
      <c r="A617" s="1763"/>
      <c r="B617" s="1763"/>
      <c r="C617" s="1763"/>
      <c r="D617" s="1763"/>
      <c r="E617" s="1181"/>
      <c r="R617" s="1182"/>
      <c r="S617" s="1182"/>
      <c r="T617" s="1182"/>
      <c r="U617" s="1182"/>
      <c r="V617" s="1182"/>
      <c r="W617" s="1182"/>
      <c r="X617" s="1182"/>
      <c r="Y617" s="1182"/>
    </row>
    <row r="618" spans="1:25" x14ac:dyDescent="0.2">
      <c r="A618" s="1763"/>
      <c r="B618" s="1763"/>
      <c r="C618" s="1763"/>
      <c r="D618" s="1763"/>
      <c r="E618" s="1181"/>
      <c r="R618" s="1182"/>
      <c r="S618" s="1182"/>
      <c r="T618" s="1182"/>
      <c r="U618" s="1182"/>
      <c r="V618" s="1182"/>
      <c r="W618" s="1182"/>
      <c r="X618" s="1182"/>
      <c r="Y618" s="1182"/>
    </row>
    <row r="619" spans="1:25" x14ac:dyDescent="0.2">
      <c r="A619" s="1763"/>
      <c r="B619" s="1763"/>
      <c r="C619" s="1763"/>
      <c r="D619" s="1763"/>
      <c r="E619" s="1181"/>
      <c r="R619" s="1182"/>
      <c r="S619" s="1182"/>
      <c r="T619" s="1182"/>
      <c r="U619" s="1182"/>
      <c r="V619" s="1182"/>
      <c r="W619" s="1182"/>
      <c r="X619" s="1182"/>
      <c r="Y619" s="1182"/>
    </row>
    <row r="620" spans="1:25" x14ac:dyDescent="0.2">
      <c r="A620" s="1763"/>
      <c r="B620" s="1763"/>
      <c r="C620" s="1763"/>
      <c r="D620" s="1763"/>
      <c r="E620" s="1181"/>
      <c r="R620" s="1182"/>
      <c r="S620" s="1182"/>
      <c r="T620" s="1182"/>
      <c r="U620" s="1182"/>
      <c r="V620" s="1182"/>
      <c r="W620" s="1182"/>
      <c r="X620" s="1182"/>
      <c r="Y620" s="1182"/>
    </row>
    <row r="621" spans="1:25" x14ac:dyDescent="0.2">
      <c r="A621" s="1763"/>
      <c r="B621" s="1763"/>
      <c r="C621" s="1763"/>
      <c r="D621" s="1763"/>
      <c r="E621" s="1181"/>
      <c r="R621" s="1182"/>
      <c r="S621" s="1182"/>
      <c r="T621" s="1182"/>
      <c r="U621" s="1182"/>
      <c r="V621" s="1182"/>
      <c r="W621" s="1182"/>
      <c r="X621" s="1182"/>
      <c r="Y621" s="1182"/>
    </row>
    <row r="622" spans="1:25" x14ac:dyDescent="0.2">
      <c r="A622" s="1763"/>
      <c r="B622" s="1763"/>
      <c r="C622" s="1763"/>
      <c r="D622" s="1763"/>
      <c r="E622" s="1181"/>
      <c r="R622" s="1182"/>
      <c r="S622" s="1182"/>
      <c r="T622" s="1182"/>
      <c r="U622" s="1182"/>
      <c r="V622" s="1182"/>
      <c r="W622" s="1182"/>
      <c r="X622" s="1182"/>
      <c r="Y622" s="1182"/>
    </row>
    <row r="623" spans="1:25" x14ac:dyDescent="0.2">
      <c r="A623" s="1763"/>
      <c r="B623" s="1763"/>
      <c r="C623" s="1763"/>
      <c r="D623" s="1763"/>
      <c r="E623" s="1181"/>
      <c r="R623" s="1182"/>
      <c r="S623" s="1182"/>
      <c r="T623" s="1182"/>
      <c r="U623" s="1182"/>
      <c r="V623" s="1182"/>
      <c r="W623" s="1182"/>
      <c r="X623" s="1182"/>
      <c r="Y623" s="1182"/>
    </row>
    <row r="624" spans="1:25" x14ac:dyDescent="0.2">
      <c r="A624" s="1763"/>
      <c r="B624" s="1763"/>
      <c r="C624" s="1763"/>
      <c r="D624" s="1763"/>
      <c r="E624" s="1181"/>
      <c r="R624" s="1182"/>
      <c r="S624" s="1182"/>
      <c r="T624" s="1182"/>
      <c r="U624" s="1182"/>
      <c r="V624" s="1182"/>
      <c r="W624" s="1182"/>
      <c r="X624" s="1182"/>
      <c r="Y624" s="1182"/>
    </row>
    <row r="625" spans="1:25" x14ac:dyDescent="0.2">
      <c r="A625" s="1763"/>
      <c r="B625" s="1763"/>
      <c r="C625" s="1763"/>
      <c r="D625" s="1763"/>
      <c r="E625" s="1181"/>
      <c r="R625" s="1182"/>
      <c r="S625" s="1182"/>
      <c r="T625" s="1182"/>
      <c r="U625" s="1182"/>
      <c r="V625" s="1182"/>
      <c r="W625" s="1182"/>
      <c r="X625" s="1182"/>
      <c r="Y625" s="1182"/>
    </row>
    <row r="626" spans="1:25" x14ac:dyDescent="0.2">
      <c r="A626" s="1763"/>
      <c r="B626" s="1763"/>
      <c r="C626" s="1763"/>
      <c r="D626" s="1763"/>
      <c r="E626" s="1181"/>
      <c r="R626" s="1182"/>
      <c r="S626" s="1182"/>
      <c r="T626" s="1182"/>
      <c r="U626" s="1182"/>
      <c r="V626" s="1182"/>
      <c r="W626" s="1182"/>
      <c r="X626" s="1182"/>
      <c r="Y626" s="1182"/>
    </row>
    <row r="627" spans="1:25" x14ac:dyDescent="0.2">
      <c r="A627" s="1763"/>
      <c r="B627" s="1763"/>
      <c r="C627" s="1763"/>
      <c r="D627" s="1763"/>
      <c r="E627" s="1181"/>
      <c r="R627" s="1182"/>
      <c r="S627" s="1182"/>
      <c r="T627" s="1182"/>
      <c r="U627" s="1182"/>
      <c r="V627" s="1182"/>
      <c r="W627" s="1182"/>
      <c r="X627" s="1182"/>
      <c r="Y627" s="1182"/>
    </row>
    <row r="628" spans="1:25" x14ac:dyDescent="0.2">
      <c r="A628" s="1763"/>
      <c r="B628" s="1763"/>
      <c r="C628" s="1763"/>
      <c r="D628" s="1763"/>
      <c r="E628" s="1181"/>
      <c r="R628" s="1182"/>
      <c r="S628" s="1182"/>
      <c r="T628" s="1182"/>
      <c r="U628" s="1182"/>
      <c r="V628" s="1182"/>
      <c r="W628" s="1182"/>
      <c r="X628" s="1182"/>
      <c r="Y628" s="1182"/>
    </row>
    <row r="629" spans="1:25" x14ac:dyDescent="0.2">
      <c r="A629" s="1763"/>
      <c r="B629" s="1763"/>
      <c r="C629" s="1763"/>
      <c r="D629" s="1763"/>
      <c r="E629" s="1181"/>
      <c r="R629" s="1182"/>
      <c r="S629" s="1182"/>
      <c r="T629" s="1182"/>
      <c r="U629" s="1182"/>
      <c r="V629" s="1182"/>
      <c r="W629" s="1182"/>
      <c r="X629" s="1182"/>
      <c r="Y629" s="1182"/>
    </row>
    <row r="630" spans="1:25" x14ac:dyDescent="0.2">
      <c r="A630" s="1763"/>
      <c r="B630" s="1763"/>
      <c r="C630" s="1763"/>
      <c r="D630" s="1763"/>
      <c r="E630" s="1181"/>
      <c r="R630" s="1182"/>
      <c r="S630" s="1182"/>
      <c r="T630" s="1182"/>
      <c r="U630" s="1182"/>
      <c r="V630" s="1182"/>
      <c r="W630" s="1182"/>
      <c r="X630" s="1182"/>
      <c r="Y630" s="1182"/>
    </row>
    <row r="631" spans="1:25" x14ac:dyDescent="0.2">
      <c r="A631" s="1763"/>
      <c r="B631" s="1763"/>
      <c r="C631" s="1763"/>
      <c r="D631" s="1763"/>
      <c r="E631" s="1181"/>
      <c r="R631" s="1182"/>
      <c r="S631" s="1182"/>
      <c r="T631" s="1182"/>
      <c r="U631" s="1182"/>
      <c r="V631" s="1182"/>
      <c r="W631" s="1182"/>
      <c r="X631" s="1182"/>
      <c r="Y631" s="1182"/>
    </row>
    <row r="632" spans="1:25" x14ac:dyDescent="0.2">
      <c r="A632" s="1763"/>
      <c r="B632" s="1763"/>
      <c r="C632" s="1763"/>
      <c r="D632" s="1763"/>
      <c r="E632" s="1181"/>
      <c r="R632" s="1182"/>
      <c r="S632" s="1182"/>
      <c r="T632" s="1182"/>
      <c r="U632" s="1182"/>
      <c r="V632" s="1182"/>
      <c r="W632" s="1182"/>
      <c r="X632" s="1182"/>
      <c r="Y632" s="1182"/>
    </row>
    <row r="633" spans="1:25" x14ac:dyDescent="0.2">
      <c r="A633" s="1763"/>
      <c r="B633" s="1763"/>
      <c r="C633" s="1763"/>
      <c r="D633" s="1763"/>
      <c r="E633" s="1181"/>
      <c r="R633" s="1182"/>
      <c r="S633" s="1182"/>
      <c r="T633" s="1182"/>
      <c r="U633" s="1182"/>
      <c r="V633" s="1182"/>
      <c r="W633" s="1182"/>
      <c r="X633" s="1182"/>
      <c r="Y633" s="1182"/>
    </row>
    <row r="634" spans="1:25" x14ac:dyDescent="0.2">
      <c r="A634" s="1763"/>
      <c r="B634" s="1763"/>
      <c r="C634" s="1763"/>
      <c r="D634" s="1763"/>
      <c r="E634" s="1181"/>
      <c r="R634" s="1182"/>
      <c r="S634" s="1182"/>
      <c r="T634" s="1182"/>
      <c r="U634" s="1182"/>
      <c r="V634" s="1182"/>
      <c r="W634" s="1182"/>
      <c r="X634" s="1182"/>
      <c r="Y634" s="1182"/>
    </row>
    <row r="635" spans="1:25" x14ac:dyDescent="0.2">
      <c r="A635" s="1763"/>
      <c r="B635" s="1763"/>
      <c r="C635" s="1763"/>
      <c r="D635" s="1763"/>
      <c r="E635" s="1181"/>
      <c r="R635" s="1182"/>
      <c r="S635" s="1182"/>
      <c r="T635" s="1182"/>
      <c r="U635" s="1182"/>
      <c r="V635" s="1182"/>
      <c r="W635" s="1182"/>
      <c r="X635" s="1182"/>
      <c r="Y635" s="1182"/>
    </row>
    <row r="636" spans="1:25" x14ac:dyDescent="0.2">
      <c r="A636" s="1763"/>
      <c r="B636" s="1763"/>
      <c r="C636" s="1763"/>
      <c r="D636" s="1763"/>
      <c r="E636" s="1181"/>
      <c r="R636" s="1182"/>
      <c r="S636" s="1182"/>
      <c r="T636" s="1182"/>
      <c r="U636" s="1182"/>
      <c r="V636" s="1182"/>
      <c r="W636" s="1182"/>
      <c r="X636" s="1182"/>
      <c r="Y636" s="1182"/>
    </row>
    <row r="637" spans="1:25" x14ac:dyDescent="0.2">
      <c r="A637" s="1763"/>
      <c r="B637" s="1763"/>
      <c r="C637" s="1763"/>
      <c r="D637" s="1763"/>
      <c r="E637" s="1181"/>
      <c r="R637" s="1182"/>
      <c r="S637" s="1182"/>
      <c r="T637" s="1182"/>
      <c r="U637" s="1182"/>
      <c r="V637" s="1182"/>
      <c r="W637" s="1182"/>
      <c r="X637" s="1182"/>
      <c r="Y637" s="1182"/>
    </row>
    <row r="638" spans="1:25" x14ac:dyDescent="0.2">
      <c r="A638" s="1763"/>
      <c r="B638" s="1763"/>
      <c r="C638" s="1763"/>
      <c r="D638" s="1763"/>
      <c r="E638" s="1181"/>
      <c r="R638" s="1182"/>
      <c r="S638" s="1182"/>
      <c r="T638" s="1182"/>
      <c r="U638" s="1182"/>
      <c r="V638" s="1182"/>
      <c r="W638" s="1182"/>
      <c r="X638" s="1182"/>
      <c r="Y638" s="1182"/>
    </row>
    <row r="639" spans="1:25" x14ac:dyDescent="0.2">
      <c r="A639" s="1763"/>
      <c r="B639" s="1763"/>
      <c r="C639" s="1763"/>
      <c r="D639" s="1763"/>
      <c r="E639" s="1181"/>
      <c r="R639" s="1182"/>
      <c r="S639" s="1182"/>
      <c r="T639" s="1182"/>
      <c r="U639" s="1182"/>
      <c r="V639" s="1182"/>
      <c r="W639" s="1182"/>
      <c r="X639" s="1182"/>
      <c r="Y639" s="1182"/>
    </row>
    <row r="640" spans="1:25" x14ac:dyDescent="0.2">
      <c r="A640" s="1763"/>
      <c r="B640" s="1763"/>
      <c r="C640" s="1763"/>
      <c r="D640" s="1763"/>
      <c r="E640" s="1181"/>
      <c r="R640" s="1182"/>
      <c r="S640" s="1182"/>
      <c r="T640" s="1182"/>
      <c r="U640" s="1182"/>
      <c r="V640" s="1182"/>
      <c r="W640" s="1182"/>
      <c r="X640" s="1182"/>
      <c r="Y640" s="1182"/>
    </row>
    <row r="641" spans="1:25" x14ac:dyDescent="0.2">
      <c r="A641" s="1763"/>
      <c r="B641" s="1763"/>
      <c r="C641" s="1763"/>
      <c r="D641" s="1763"/>
      <c r="E641" s="1181"/>
      <c r="R641" s="1182"/>
      <c r="S641" s="1182"/>
      <c r="T641" s="1182"/>
      <c r="U641" s="1182"/>
      <c r="V641" s="1182"/>
      <c r="W641" s="1182"/>
      <c r="X641" s="1182"/>
      <c r="Y641" s="1182"/>
    </row>
    <row r="642" spans="1:25" x14ac:dyDescent="0.2">
      <c r="A642" s="1763"/>
      <c r="B642" s="1763"/>
      <c r="C642" s="1763"/>
      <c r="D642" s="1763"/>
      <c r="E642" s="1181"/>
      <c r="R642" s="1182"/>
      <c r="S642" s="1182"/>
      <c r="T642" s="1182"/>
      <c r="U642" s="1182"/>
      <c r="V642" s="1182"/>
      <c r="W642" s="1182"/>
      <c r="X642" s="1182"/>
      <c r="Y642" s="1182"/>
    </row>
    <row r="643" spans="1:25" x14ac:dyDescent="0.2">
      <c r="A643" s="1763"/>
      <c r="B643" s="1763"/>
      <c r="C643" s="1763"/>
      <c r="D643" s="1763"/>
      <c r="E643" s="1181"/>
      <c r="R643" s="1182"/>
      <c r="S643" s="1182"/>
      <c r="T643" s="1182"/>
      <c r="U643" s="1182"/>
      <c r="V643" s="1182"/>
      <c r="W643" s="1182"/>
      <c r="X643" s="1182"/>
      <c r="Y643" s="1182"/>
    </row>
    <row r="644" spans="1:25" x14ac:dyDescent="0.2">
      <c r="A644" s="1763"/>
      <c r="B644" s="1763"/>
      <c r="C644" s="1763"/>
      <c r="D644" s="1763"/>
      <c r="E644" s="1181"/>
      <c r="R644" s="1182"/>
      <c r="S644" s="1182"/>
      <c r="T644" s="1182"/>
      <c r="U644" s="1182"/>
      <c r="V644" s="1182"/>
      <c r="W644" s="1182"/>
      <c r="X644" s="1182"/>
      <c r="Y644" s="1182"/>
    </row>
    <row r="645" spans="1:25" x14ac:dyDescent="0.2">
      <c r="A645" s="1763"/>
      <c r="B645" s="1763"/>
      <c r="C645" s="1763"/>
      <c r="D645" s="1763"/>
      <c r="E645" s="1181"/>
      <c r="R645" s="1182"/>
      <c r="S645" s="1182"/>
      <c r="T645" s="1182"/>
      <c r="U645" s="1182"/>
      <c r="V645" s="1182"/>
      <c r="W645" s="1182"/>
      <c r="X645" s="1182"/>
      <c r="Y645" s="1182"/>
    </row>
    <row r="646" spans="1:25" x14ac:dyDescent="0.2">
      <c r="A646" s="1763"/>
      <c r="B646" s="1763"/>
      <c r="C646" s="1763"/>
      <c r="D646" s="1763"/>
      <c r="E646" s="1181"/>
      <c r="R646" s="1182"/>
      <c r="S646" s="1182"/>
      <c r="T646" s="1182"/>
      <c r="U646" s="1182"/>
      <c r="V646" s="1182"/>
      <c r="W646" s="1182"/>
      <c r="X646" s="1182"/>
      <c r="Y646" s="1182"/>
    </row>
    <row r="647" spans="1:25" x14ac:dyDescent="0.2">
      <c r="A647" s="1763"/>
      <c r="B647" s="1763"/>
      <c r="C647" s="1763"/>
      <c r="D647" s="1763"/>
      <c r="E647" s="1181"/>
      <c r="R647" s="1182"/>
      <c r="S647" s="1182"/>
      <c r="T647" s="1182"/>
      <c r="U647" s="1182"/>
      <c r="V647" s="1182"/>
      <c r="W647" s="1182"/>
      <c r="X647" s="1182"/>
      <c r="Y647" s="1182"/>
    </row>
    <row r="648" spans="1:25" x14ac:dyDescent="0.2">
      <c r="A648" s="1763"/>
      <c r="B648" s="1763"/>
      <c r="C648" s="1763"/>
      <c r="D648" s="1763"/>
      <c r="E648" s="1181"/>
      <c r="R648" s="1182"/>
      <c r="S648" s="1182"/>
      <c r="T648" s="1182"/>
      <c r="U648" s="1182"/>
      <c r="V648" s="1182"/>
      <c r="W648" s="1182"/>
      <c r="X648" s="1182"/>
      <c r="Y648" s="1182"/>
    </row>
    <row r="649" spans="1:25" x14ac:dyDescent="0.2">
      <c r="A649" s="1763"/>
      <c r="B649" s="1763"/>
      <c r="C649" s="1763"/>
      <c r="D649" s="1763"/>
      <c r="E649" s="1181"/>
      <c r="R649" s="1182"/>
      <c r="S649" s="1182"/>
      <c r="T649" s="1182"/>
      <c r="U649" s="1182"/>
      <c r="V649" s="1182"/>
      <c r="W649" s="1182"/>
      <c r="X649" s="1182"/>
      <c r="Y649" s="1182"/>
    </row>
    <row r="650" spans="1:25" x14ac:dyDescent="0.2">
      <c r="A650" s="1763"/>
      <c r="B650" s="1763"/>
      <c r="C650" s="1763"/>
      <c r="D650" s="1763"/>
      <c r="E650" s="1181"/>
      <c r="R650" s="1182"/>
      <c r="S650" s="1182"/>
      <c r="T650" s="1182"/>
      <c r="U650" s="1182"/>
      <c r="V650" s="1182"/>
      <c r="W650" s="1182"/>
      <c r="X650" s="1182"/>
      <c r="Y650" s="1182"/>
    </row>
    <row r="651" spans="1:25" x14ac:dyDescent="0.2">
      <c r="A651" s="1763"/>
      <c r="B651" s="1763"/>
      <c r="C651" s="1763"/>
      <c r="D651" s="1763"/>
      <c r="E651" s="1181"/>
      <c r="R651" s="1182"/>
      <c r="S651" s="1182"/>
      <c r="T651" s="1182"/>
      <c r="U651" s="1182"/>
      <c r="V651" s="1182"/>
      <c r="W651" s="1182"/>
      <c r="X651" s="1182"/>
      <c r="Y651" s="1182"/>
    </row>
    <row r="652" spans="1:25" x14ac:dyDescent="0.2">
      <c r="A652" s="1763"/>
      <c r="B652" s="1763"/>
      <c r="C652" s="1763"/>
      <c r="D652" s="1763"/>
      <c r="E652" s="1181"/>
      <c r="R652" s="1182"/>
      <c r="S652" s="1182"/>
      <c r="T652" s="1182"/>
      <c r="U652" s="1182"/>
      <c r="V652" s="1182"/>
      <c r="W652" s="1182"/>
      <c r="X652" s="1182"/>
      <c r="Y652" s="1182"/>
    </row>
    <row r="653" spans="1:25" x14ac:dyDescent="0.2">
      <c r="A653" s="1763"/>
      <c r="B653" s="1763"/>
      <c r="C653" s="1763"/>
      <c r="D653" s="1763"/>
      <c r="E653" s="1181"/>
      <c r="R653" s="1182"/>
      <c r="S653" s="1182"/>
      <c r="T653" s="1182"/>
      <c r="U653" s="1182"/>
      <c r="V653" s="1182"/>
      <c r="W653" s="1182"/>
      <c r="X653" s="1182"/>
      <c r="Y653" s="1182"/>
    </row>
    <row r="654" spans="1:25" x14ac:dyDescent="0.2">
      <c r="A654" s="1763"/>
      <c r="B654" s="1763"/>
      <c r="C654" s="1763"/>
      <c r="D654" s="1763"/>
      <c r="E654" s="1181"/>
      <c r="R654" s="1182"/>
      <c r="S654" s="1182"/>
      <c r="T654" s="1182"/>
      <c r="U654" s="1182"/>
      <c r="V654" s="1182"/>
      <c r="W654" s="1182"/>
      <c r="X654" s="1182"/>
      <c r="Y654" s="1182"/>
    </row>
    <row r="655" spans="1:25" x14ac:dyDescent="0.2">
      <c r="A655" s="1763"/>
      <c r="B655" s="1763"/>
      <c r="C655" s="1763"/>
      <c r="D655" s="1763"/>
      <c r="E655" s="1181"/>
      <c r="R655" s="1182"/>
      <c r="S655" s="1182"/>
      <c r="T655" s="1182"/>
      <c r="U655" s="1182"/>
      <c r="V655" s="1182"/>
      <c r="W655" s="1182"/>
      <c r="X655" s="1182"/>
      <c r="Y655" s="1182"/>
    </row>
    <row r="656" spans="1:25" x14ac:dyDescent="0.2">
      <c r="A656" s="1763"/>
      <c r="B656" s="1763"/>
      <c r="C656" s="1763"/>
      <c r="D656" s="1763"/>
      <c r="E656" s="1181"/>
      <c r="R656" s="1182"/>
      <c r="S656" s="1182"/>
      <c r="T656" s="1182"/>
      <c r="U656" s="1182"/>
      <c r="V656" s="1182"/>
      <c r="W656" s="1182"/>
      <c r="X656" s="1182"/>
      <c r="Y656" s="1182"/>
    </row>
    <row r="657" spans="1:25" x14ac:dyDescent="0.2">
      <c r="A657" s="1763"/>
      <c r="B657" s="1763"/>
      <c r="C657" s="1763"/>
      <c r="D657" s="1763"/>
      <c r="E657" s="1181"/>
      <c r="R657" s="1182"/>
      <c r="S657" s="1182"/>
      <c r="T657" s="1182"/>
      <c r="U657" s="1182"/>
      <c r="V657" s="1182"/>
      <c r="W657" s="1182"/>
      <c r="X657" s="1182"/>
      <c r="Y657" s="1182"/>
    </row>
    <row r="658" spans="1:25" x14ac:dyDescent="0.2">
      <c r="A658" s="1763"/>
      <c r="B658" s="1763"/>
      <c r="C658" s="1763"/>
      <c r="D658" s="1763"/>
      <c r="E658" s="1181"/>
      <c r="R658" s="1182"/>
      <c r="S658" s="1182"/>
      <c r="T658" s="1182"/>
      <c r="U658" s="1182"/>
      <c r="V658" s="1182"/>
      <c r="W658" s="1182"/>
      <c r="X658" s="1182"/>
      <c r="Y658" s="1182"/>
    </row>
    <row r="659" spans="1:25" x14ac:dyDescent="0.2">
      <c r="A659" s="1763"/>
      <c r="B659" s="1763"/>
      <c r="C659" s="1763"/>
      <c r="D659" s="1763"/>
      <c r="E659" s="1181"/>
      <c r="R659" s="1182"/>
      <c r="S659" s="1182"/>
      <c r="T659" s="1182"/>
      <c r="U659" s="1182"/>
      <c r="V659" s="1182"/>
      <c r="W659" s="1182"/>
      <c r="X659" s="1182"/>
      <c r="Y659" s="1182"/>
    </row>
    <row r="660" spans="1:25" x14ac:dyDescent="0.2">
      <c r="A660" s="1763"/>
      <c r="B660" s="1763"/>
      <c r="C660" s="1763"/>
      <c r="D660" s="1763"/>
      <c r="E660" s="1181"/>
      <c r="R660" s="1182"/>
      <c r="S660" s="1182"/>
      <c r="T660" s="1182"/>
      <c r="U660" s="1182"/>
      <c r="V660" s="1182"/>
      <c r="W660" s="1182"/>
      <c r="X660" s="1182"/>
      <c r="Y660" s="1182"/>
    </row>
    <row r="661" spans="1:25" x14ac:dyDescent="0.2">
      <c r="A661" s="1763"/>
      <c r="B661" s="1763"/>
      <c r="C661" s="1763"/>
      <c r="D661" s="1763"/>
      <c r="E661" s="1181"/>
      <c r="R661" s="1182"/>
      <c r="S661" s="1182"/>
      <c r="T661" s="1182"/>
      <c r="U661" s="1182"/>
      <c r="V661" s="1182"/>
      <c r="W661" s="1182"/>
      <c r="X661" s="1182"/>
      <c r="Y661" s="1182"/>
    </row>
    <row r="662" spans="1:25" x14ac:dyDescent="0.2">
      <c r="A662" s="1763"/>
      <c r="B662" s="1763"/>
      <c r="C662" s="1763"/>
      <c r="D662" s="1763"/>
      <c r="E662" s="1181"/>
      <c r="R662" s="1182"/>
      <c r="S662" s="1182"/>
      <c r="T662" s="1182"/>
      <c r="U662" s="1182"/>
      <c r="V662" s="1182"/>
      <c r="W662" s="1182"/>
      <c r="X662" s="1182"/>
      <c r="Y662" s="1182"/>
    </row>
    <row r="663" spans="1:25" x14ac:dyDescent="0.2">
      <c r="A663" s="1763"/>
      <c r="B663" s="1763"/>
      <c r="C663" s="1763"/>
      <c r="D663" s="1763"/>
      <c r="E663" s="1181"/>
      <c r="R663" s="1182"/>
      <c r="S663" s="1182"/>
      <c r="T663" s="1182"/>
      <c r="U663" s="1182"/>
      <c r="V663" s="1182"/>
      <c r="W663" s="1182"/>
      <c r="X663" s="1182"/>
      <c r="Y663" s="1182"/>
    </row>
    <row r="664" spans="1:25" x14ac:dyDescent="0.2">
      <c r="A664" s="1763"/>
      <c r="B664" s="1763"/>
      <c r="C664" s="1763"/>
      <c r="D664" s="1763"/>
      <c r="E664" s="1181"/>
      <c r="R664" s="1182"/>
      <c r="S664" s="1182"/>
      <c r="T664" s="1182"/>
      <c r="U664" s="1182"/>
      <c r="V664" s="1182"/>
      <c r="W664" s="1182"/>
      <c r="X664" s="1182"/>
      <c r="Y664" s="1182"/>
    </row>
    <row r="665" spans="1:25" x14ac:dyDescent="0.2">
      <c r="A665" s="1763"/>
      <c r="B665" s="1763"/>
      <c r="C665" s="1763"/>
      <c r="D665" s="1763"/>
      <c r="E665" s="1181"/>
      <c r="R665" s="1182"/>
      <c r="S665" s="1182"/>
      <c r="T665" s="1182"/>
      <c r="U665" s="1182"/>
      <c r="V665" s="1182"/>
      <c r="W665" s="1182"/>
      <c r="X665" s="1182"/>
      <c r="Y665" s="1182"/>
    </row>
    <row r="666" spans="1:25" x14ac:dyDescent="0.2">
      <c r="A666" s="1763"/>
      <c r="B666" s="1763"/>
      <c r="C666" s="1763"/>
      <c r="D666" s="1763"/>
      <c r="E666" s="1181"/>
      <c r="R666" s="1182"/>
      <c r="S666" s="1182"/>
      <c r="T666" s="1182"/>
      <c r="U666" s="1182"/>
      <c r="V666" s="1182"/>
      <c r="W666" s="1182"/>
      <c r="X666" s="1182"/>
      <c r="Y666" s="1182"/>
    </row>
    <row r="667" spans="1:25" x14ac:dyDescent="0.2">
      <c r="A667" s="1763"/>
      <c r="B667" s="1763"/>
      <c r="C667" s="1763"/>
      <c r="D667" s="1763"/>
      <c r="E667" s="1181"/>
      <c r="R667" s="1182"/>
      <c r="S667" s="1182"/>
      <c r="T667" s="1182"/>
      <c r="U667" s="1182"/>
      <c r="V667" s="1182"/>
      <c r="W667" s="1182"/>
      <c r="X667" s="1182"/>
      <c r="Y667" s="1182"/>
    </row>
    <row r="668" spans="1:25" x14ac:dyDescent="0.2">
      <c r="A668" s="1763"/>
      <c r="B668" s="1763"/>
      <c r="C668" s="1763"/>
      <c r="D668" s="1763"/>
      <c r="E668" s="1181"/>
      <c r="R668" s="1182"/>
      <c r="S668" s="1182"/>
      <c r="T668" s="1182"/>
      <c r="U668" s="1182"/>
      <c r="V668" s="1182"/>
      <c r="W668" s="1182"/>
      <c r="X668" s="1182"/>
      <c r="Y668" s="1182"/>
    </row>
    <row r="669" spans="1:25" x14ac:dyDescent="0.2">
      <c r="A669" s="1763"/>
      <c r="B669" s="1763"/>
      <c r="C669" s="1763"/>
      <c r="D669" s="1763"/>
      <c r="E669" s="1181"/>
      <c r="R669" s="1182"/>
      <c r="S669" s="1182"/>
      <c r="T669" s="1182"/>
      <c r="U669" s="1182"/>
      <c r="V669" s="1182"/>
      <c r="W669" s="1182"/>
      <c r="X669" s="1182"/>
      <c r="Y669" s="1182"/>
    </row>
    <row r="670" spans="1:25" x14ac:dyDescent="0.2">
      <c r="A670" s="1763"/>
      <c r="B670" s="1763"/>
      <c r="C670" s="1763"/>
      <c r="D670" s="1763"/>
      <c r="E670" s="1181"/>
      <c r="R670" s="1182"/>
      <c r="S670" s="1182"/>
      <c r="T670" s="1182"/>
      <c r="U670" s="1182"/>
      <c r="V670" s="1182"/>
      <c r="W670" s="1182"/>
      <c r="X670" s="1182"/>
      <c r="Y670" s="1182"/>
    </row>
    <row r="671" spans="1:25" x14ac:dyDescent="0.2">
      <c r="A671" s="1763"/>
      <c r="B671" s="1763"/>
      <c r="C671" s="1763"/>
      <c r="D671" s="1763"/>
      <c r="E671" s="1181"/>
      <c r="R671" s="1182"/>
      <c r="S671" s="1182"/>
      <c r="T671" s="1182"/>
      <c r="U671" s="1182"/>
      <c r="V671" s="1182"/>
      <c r="W671" s="1182"/>
      <c r="X671" s="1182"/>
      <c r="Y671" s="1182"/>
    </row>
    <row r="672" spans="1:25" x14ac:dyDescent="0.2">
      <c r="A672" s="1763"/>
      <c r="B672" s="1763"/>
      <c r="C672" s="1763"/>
      <c r="D672" s="1763"/>
      <c r="E672" s="1181"/>
      <c r="R672" s="1182"/>
      <c r="S672" s="1182"/>
      <c r="T672" s="1182"/>
      <c r="U672" s="1182"/>
      <c r="V672" s="1182"/>
      <c r="W672" s="1182"/>
      <c r="X672" s="1182"/>
      <c r="Y672" s="1182"/>
    </row>
    <row r="673" spans="1:25" x14ac:dyDescent="0.2">
      <c r="A673" s="1763"/>
      <c r="B673" s="1763"/>
      <c r="C673" s="1763"/>
      <c r="D673" s="1763"/>
      <c r="E673" s="1181"/>
      <c r="R673" s="1182"/>
      <c r="S673" s="1182"/>
      <c r="T673" s="1182"/>
      <c r="U673" s="1182"/>
      <c r="V673" s="1182"/>
      <c r="W673" s="1182"/>
      <c r="X673" s="1182"/>
      <c r="Y673" s="1182"/>
    </row>
    <row r="674" spans="1:25" x14ac:dyDescent="0.2">
      <c r="A674" s="1763"/>
      <c r="B674" s="1763"/>
      <c r="C674" s="1763"/>
      <c r="D674" s="1763"/>
      <c r="E674" s="1181"/>
      <c r="R674" s="1182"/>
      <c r="S674" s="1182"/>
      <c r="T674" s="1182"/>
      <c r="U674" s="1182"/>
      <c r="V674" s="1182"/>
      <c r="W674" s="1182"/>
      <c r="X674" s="1182"/>
      <c r="Y674" s="1182"/>
    </row>
    <row r="675" spans="1:25" x14ac:dyDescent="0.2">
      <c r="A675" s="1763"/>
      <c r="B675" s="1763"/>
      <c r="C675" s="1763"/>
      <c r="D675" s="1763"/>
      <c r="E675" s="1181"/>
      <c r="R675" s="1182"/>
      <c r="S675" s="1182"/>
      <c r="T675" s="1182"/>
      <c r="U675" s="1182"/>
      <c r="V675" s="1182"/>
      <c r="W675" s="1182"/>
      <c r="X675" s="1182"/>
      <c r="Y675" s="1182"/>
    </row>
    <row r="676" spans="1:25" x14ac:dyDescent="0.2">
      <c r="A676" s="1763"/>
      <c r="B676" s="1763"/>
      <c r="C676" s="1763"/>
      <c r="D676" s="1763"/>
      <c r="E676" s="1181"/>
      <c r="R676" s="1182"/>
      <c r="S676" s="1182"/>
      <c r="T676" s="1182"/>
      <c r="U676" s="1182"/>
      <c r="V676" s="1182"/>
      <c r="W676" s="1182"/>
      <c r="X676" s="1182"/>
      <c r="Y676" s="1182"/>
    </row>
    <row r="677" spans="1:25" x14ac:dyDescent="0.2">
      <c r="A677" s="1763"/>
      <c r="B677" s="1763"/>
      <c r="C677" s="1763"/>
      <c r="D677" s="1763"/>
      <c r="E677" s="1181"/>
      <c r="R677" s="1182"/>
      <c r="S677" s="1182"/>
      <c r="T677" s="1182"/>
      <c r="U677" s="1182"/>
      <c r="V677" s="1182"/>
      <c r="W677" s="1182"/>
      <c r="X677" s="1182"/>
      <c r="Y677" s="1182"/>
    </row>
    <row r="678" spans="1:25" x14ac:dyDescent="0.2">
      <c r="A678" s="1763"/>
      <c r="B678" s="1763"/>
      <c r="C678" s="1763"/>
      <c r="D678" s="1763"/>
      <c r="E678" s="1181"/>
      <c r="R678" s="1182"/>
      <c r="S678" s="1182"/>
      <c r="T678" s="1182"/>
      <c r="U678" s="1182"/>
      <c r="V678" s="1182"/>
      <c r="W678" s="1182"/>
      <c r="X678" s="1182"/>
      <c r="Y678" s="1182"/>
    </row>
    <row r="679" spans="1:25" x14ac:dyDescent="0.2">
      <c r="A679" s="1763"/>
      <c r="B679" s="1763"/>
      <c r="C679" s="1763"/>
      <c r="D679" s="1763"/>
      <c r="E679" s="1181"/>
      <c r="R679" s="1182"/>
      <c r="S679" s="1182"/>
      <c r="T679" s="1182"/>
      <c r="U679" s="1182"/>
      <c r="V679" s="1182"/>
      <c r="W679" s="1182"/>
      <c r="X679" s="1182"/>
      <c r="Y679" s="1182"/>
    </row>
    <row r="680" spans="1:25" x14ac:dyDescent="0.2">
      <c r="A680" s="1763"/>
      <c r="B680" s="1763"/>
      <c r="C680" s="1763"/>
      <c r="D680" s="1763"/>
      <c r="E680" s="1181"/>
      <c r="R680" s="1182"/>
      <c r="S680" s="1182"/>
      <c r="T680" s="1182"/>
      <c r="U680" s="1182"/>
      <c r="V680" s="1182"/>
      <c r="W680" s="1182"/>
      <c r="X680" s="1182"/>
      <c r="Y680" s="1182"/>
    </row>
    <row r="681" spans="1:25" x14ac:dyDescent="0.2">
      <c r="A681" s="1763"/>
      <c r="B681" s="1763"/>
      <c r="C681" s="1763"/>
      <c r="D681" s="1763"/>
      <c r="E681" s="1181"/>
      <c r="R681" s="1182"/>
      <c r="S681" s="1182"/>
      <c r="T681" s="1182"/>
      <c r="U681" s="1182"/>
      <c r="V681" s="1182"/>
      <c r="W681" s="1182"/>
      <c r="X681" s="1182"/>
      <c r="Y681" s="1182"/>
    </row>
    <row r="682" spans="1:25" x14ac:dyDescent="0.2">
      <c r="A682" s="1763"/>
      <c r="B682" s="1763"/>
      <c r="C682" s="1763"/>
      <c r="D682" s="1763"/>
      <c r="E682" s="1181"/>
      <c r="R682" s="1182"/>
      <c r="S682" s="1182"/>
      <c r="T682" s="1182"/>
      <c r="U682" s="1182"/>
      <c r="V682" s="1182"/>
      <c r="W682" s="1182"/>
      <c r="X682" s="1182"/>
      <c r="Y682" s="1182"/>
    </row>
    <row r="683" spans="1:25" x14ac:dyDescent="0.2">
      <c r="A683" s="1763"/>
      <c r="B683" s="1763"/>
      <c r="C683" s="1763"/>
      <c r="D683" s="1763"/>
      <c r="E683" s="1181"/>
      <c r="R683" s="1182"/>
      <c r="S683" s="1182"/>
      <c r="T683" s="1182"/>
      <c r="U683" s="1182"/>
      <c r="V683" s="1182"/>
      <c r="W683" s="1182"/>
      <c r="X683" s="1182"/>
      <c r="Y683" s="1182"/>
    </row>
    <row r="684" spans="1:25" x14ac:dyDescent="0.2">
      <c r="A684" s="1763"/>
      <c r="B684" s="1763"/>
      <c r="C684" s="1763"/>
      <c r="D684" s="1763"/>
      <c r="E684" s="1181"/>
      <c r="R684" s="1182"/>
      <c r="S684" s="1182"/>
      <c r="T684" s="1182"/>
      <c r="U684" s="1182"/>
      <c r="V684" s="1182"/>
      <c r="W684" s="1182"/>
      <c r="X684" s="1182"/>
      <c r="Y684" s="1182"/>
    </row>
    <row r="685" spans="1:25" x14ac:dyDescent="0.2">
      <c r="A685" s="1763"/>
      <c r="B685" s="1763"/>
      <c r="C685" s="1763"/>
      <c r="D685" s="1763"/>
      <c r="E685" s="1181"/>
      <c r="R685" s="1182"/>
      <c r="S685" s="1182"/>
      <c r="T685" s="1182"/>
      <c r="U685" s="1182"/>
      <c r="V685" s="1182"/>
      <c r="W685" s="1182"/>
      <c r="X685" s="1182"/>
      <c r="Y685" s="1182"/>
    </row>
    <row r="686" spans="1:25" x14ac:dyDescent="0.2">
      <c r="A686" s="1763"/>
      <c r="B686" s="1763"/>
      <c r="C686" s="1763"/>
      <c r="D686" s="1763"/>
      <c r="E686" s="1181"/>
      <c r="R686" s="1182"/>
      <c r="S686" s="1182"/>
      <c r="T686" s="1182"/>
      <c r="U686" s="1182"/>
      <c r="V686" s="1182"/>
      <c r="W686" s="1182"/>
      <c r="X686" s="1182"/>
      <c r="Y686" s="1182"/>
    </row>
    <row r="687" spans="1:25" x14ac:dyDescent="0.2">
      <c r="A687" s="1763"/>
      <c r="B687" s="1763"/>
      <c r="C687" s="1763"/>
      <c r="D687" s="1763"/>
      <c r="E687" s="1181"/>
      <c r="R687" s="1182"/>
      <c r="S687" s="1182"/>
      <c r="T687" s="1182"/>
      <c r="U687" s="1182"/>
      <c r="V687" s="1182"/>
      <c r="W687" s="1182"/>
      <c r="X687" s="1182"/>
      <c r="Y687" s="1182"/>
    </row>
    <row r="688" spans="1:25" x14ac:dyDescent="0.2">
      <c r="A688" s="1763"/>
      <c r="B688" s="1763"/>
      <c r="C688" s="1763"/>
      <c r="D688" s="1763"/>
      <c r="E688" s="1181"/>
      <c r="R688" s="1182"/>
      <c r="S688" s="1182"/>
      <c r="T688" s="1182"/>
      <c r="U688" s="1182"/>
      <c r="V688" s="1182"/>
      <c r="W688" s="1182"/>
      <c r="X688" s="1182"/>
      <c r="Y688" s="1182"/>
    </row>
    <row r="689" spans="1:25" x14ac:dyDescent="0.2">
      <c r="A689" s="1763"/>
      <c r="B689" s="1763"/>
      <c r="C689" s="1763"/>
      <c r="D689" s="1763"/>
      <c r="E689" s="1181"/>
      <c r="R689" s="1182"/>
      <c r="S689" s="1182"/>
      <c r="T689" s="1182"/>
      <c r="U689" s="1182"/>
      <c r="V689" s="1182"/>
      <c r="W689" s="1182"/>
      <c r="X689" s="1182"/>
      <c r="Y689" s="1182"/>
    </row>
    <row r="690" spans="1:25" x14ac:dyDescent="0.2">
      <c r="A690" s="1763"/>
      <c r="B690" s="1763"/>
      <c r="C690" s="1763"/>
      <c r="D690" s="1763"/>
      <c r="E690" s="1181"/>
      <c r="R690" s="1182"/>
      <c r="S690" s="1182"/>
      <c r="T690" s="1182"/>
      <c r="U690" s="1182"/>
      <c r="V690" s="1182"/>
      <c r="W690" s="1182"/>
      <c r="X690" s="1182"/>
      <c r="Y690" s="1182"/>
    </row>
    <row r="691" spans="1:25" x14ac:dyDescent="0.2">
      <c r="A691" s="1763"/>
      <c r="B691" s="1763"/>
      <c r="C691" s="1763"/>
      <c r="D691" s="1763"/>
      <c r="E691" s="1181"/>
      <c r="R691" s="1182"/>
      <c r="S691" s="1182"/>
      <c r="T691" s="1182"/>
      <c r="U691" s="1182"/>
      <c r="V691" s="1182"/>
      <c r="W691" s="1182"/>
      <c r="X691" s="1182"/>
      <c r="Y691" s="1182"/>
    </row>
    <row r="692" spans="1:25" x14ac:dyDescent="0.2">
      <c r="A692" s="1763"/>
      <c r="B692" s="1763"/>
      <c r="C692" s="1763"/>
      <c r="D692" s="1763"/>
      <c r="E692" s="1181"/>
      <c r="R692" s="1182"/>
      <c r="S692" s="1182"/>
      <c r="T692" s="1182"/>
      <c r="U692" s="1182"/>
      <c r="V692" s="1182"/>
      <c r="W692" s="1182"/>
      <c r="X692" s="1182"/>
      <c r="Y692" s="1182"/>
    </row>
    <row r="693" spans="1:25" x14ac:dyDescent="0.2">
      <c r="A693" s="1763"/>
      <c r="B693" s="1763"/>
      <c r="C693" s="1763"/>
      <c r="D693" s="1763"/>
      <c r="E693" s="1181"/>
      <c r="R693" s="1182"/>
      <c r="S693" s="1182"/>
      <c r="T693" s="1182"/>
      <c r="U693" s="1182"/>
      <c r="V693" s="1182"/>
      <c r="W693" s="1182"/>
      <c r="X693" s="1182"/>
      <c r="Y693" s="1182"/>
    </row>
    <row r="694" spans="1:25" x14ac:dyDescent="0.2">
      <c r="A694" s="1763"/>
      <c r="B694" s="1763"/>
      <c r="C694" s="1763"/>
      <c r="D694" s="1763"/>
      <c r="E694" s="1181"/>
      <c r="R694" s="1182"/>
      <c r="S694" s="1182"/>
      <c r="T694" s="1182"/>
      <c r="U694" s="1182"/>
      <c r="V694" s="1182"/>
      <c r="W694" s="1182"/>
      <c r="X694" s="1182"/>
      <c r="Y694" s="1182"/>
    </row>
    <row r="695" spans="1:25" x14ac:dyDescent="0.2">
      <c r="A695" s="1763"/>
      <c r="B695" s="1763"/>
      <c r="C695" s="1763"/>
      <c r="D695" s="1763"/>
      <c r="E695" s="1181"/>
      <c r="R695" s="1182"/>
      <c r="S695" s="1182"/>
      <c r="T695" s="1182"/>
      <c r="U695" s="1182"/>
      <c r="V695" s="1182"/>
      <c r="W695" s="1182"/>
      <c r="X695" s="1182"/>
      <c r="Y695" s="1182"/>
    </row>
    <row r="696" spans="1:25" x14ac:dyDescent="0.2">
      <c r="A696" s="1763"/>
      <c r="B696" s="1763"/>
      <c r="C696" s="1763"/>
      <c r="D696" s="1763"/>
      <c r="E696" s="1181"/>
      <c r="R696" s="1182"/>
      <c r="S696" s="1182"/>
      <c r="T696" s="1182"/>
      <c r="U696" s="1182"/>
      <c r="V696" s="1182"/>
      <c r="W696" s="1182"/>
      <c r="X696" s="1182"/>
      <c r="Y696" s="1182"/>
    </row>
    <row r="697" spans="1:25" x14ac:dyDescent="0.2">
      <c r="A697" s="1763"/>
      <c r="B697" s="1763"/>
      <c r="C697" s="1763"/>
      <c r="D697" s="1763"/>
      <c r="E697" s="1181"/>
      <c r="R697" s="1182"/>
      <c r="S697" s="1182"/>
      <c r="T697" s="1182"/>
      <c r="U697" s="1182"/>
      <c r="V697" s="1182"/>
      <c r="W697" s="1182"/>
      <c r="X697" s="1182"/>
      <c r="Y697" s="1182"/>
    </row>
    <row r="698" spans="1:25" x14ac:dyDescent="0.2">
      <c r="A698" s="1763"/>
      <c r="B698" s="1763"/>
      <c r="C698" s="1763"/>
      <c r="D698" s="1763"/>
      <c r="E698" s="1181"/>
      <c r="R698" s="1182"/>
      <c r="S698" s="1182"/>
      <c r="T698" s="1182"/>
      <c r="U698" s="1182"/>
      <c r="V698" s="1182"/>
      <c r="W698" s="1182"/>
      <c r="X698" s="1182"/>
      <c r="Y698" s="1182"/>
    </row>
    <row r="699" spans="1:25" x14ac:dyDescent="0.2">
      <c r="A699" s="1763"/>
      <c r="B699" s="1763"/>
      <c r="C699" s="1763"/>
      <c r="D699" s="1763"/>
      <c r="E699" s="1181"/>
      <c r="R699" s="1182"/>
      <c r="S699" s="1182"/>
      <c r="T699" s="1182"/>
      <c r="U699" s="1182"/>
      <c r="V699" s="1182"/>
      <c r="W699" s="1182"/>
      <c r="X699" s="1182"/>
      <c r="Y699" s="1182"/>
    </row>
    <row r="700" spans="1:25" x14ac:dyDescent="0.2">
      <c r="A700" s="1763"/>
      <c r="B700" s="1763"/>
      <c r="C700" s="1763"/>
      <c r="D700" s="1763"/>
      <c r="E700" s="1181"/>
      <c r="R700" s="1182"/>
      <c r="S700" s="1182"/>
      <c r="T700" s="1182"/>
      <c r="U700" s="1182"/>
      <c r="V700" s="1182"/>
      <c r="W700" s="1182"/>
      <c r="X700" s="1182"/>
      <c r="Y700" s="1182"/>
    </row>
    <row r="701" spans="1:25" x14ac:dyDescent="0.2">
      <c r="A701" s="1763"/>
      <c r="B701" s="1763"/>
      <c r="C701" s="1763"/>
      <c r="D701" s="1763"/>
      <c r="E701" s="1181"/>
      <c r="R701" s="1182"/>
      <c r="S701" s="1182"/>
      <c r="T701" s="1182"/>
      <c r="U701" s="1182"/>
      <c r="V701" s="1182"/>
      <c r="W701" s="1182"/>
      <c r="X701" s="1182"/>
      <c r="Y701" s="1182"/>
    </row>
    <row r="702" spans="1:25" x14ac:dyDescent="0.2">
      <c r="A702" s="1763"/>
      <c r="B702" s="1763"/>
      <c r="C702" s="1763"/>
      <c r="D702" s="1763"/>
      <c r="E702" s="1181"/>
      <c r="R702" s="1182"/>
      <c r="S702" s="1182"/>
      <c r="T702" s="1182"/>
      <c r="U702" s="1182"/>
      <c r="V702" s="1182"/>
      <c r="W702" s="1182"/>
      <c r="X702" s="1182"/>
      <c r="Y702" s="1182"/>
    </row>
    <row r="703" spans="1:25" x14ac:dyDescent="0.2">
      <c r="A703" s="1763"/>
      <c r="B703" s="1763"/>
      <c r="C703" s="1763"/>
      <c r="D703" s="1763"/>
      <c r="E703" s="1181"/>
      <c r="R703" s="1182"/>
      <c r="S703" s="1182"/>
      <c r="T703" s="1182"/>
      <c r="U703" s="1182"/>
      <c r="V703" s="1182"/>
      <c r="W703" s="1182"/>
      <c r="X703" s="1182"/>
      <c r="Y703" s="1182"/>
    </row>
    <row r="704" spans="1:25" x14ac:dyDescent="0.2">
      <c r="A704" s="1763"/>
      <c r="B704" s="1763"/>
      <c r="C704" s="1763"/>
      <c r="D704" s="1763"/>
      <c r="E704" s="1181"/>
      <c r="R704" s="1182"/>
      <c r="S704" s="1182"/>
      <c r="T704" s="1182"/>
      <c r="U704" s="1182"/>
      <c r="V704" s="1182"/>
      <c r="W704" s="1182"/>
      <c r="X704" s="1182"/>
      <c r="Y704" s="1182"/>
    </row>
    <row r="705" spans="1:25" x14ac:dyDescent="0.2">
      <c r="A705" s="1763"/>
      <c r="B705" s="1763"/>
      <c r="C705" s="1763"/>
      <c r="D705" s="1763"/>
      <c r="E705" s="1181"/>
      <c r="R705" s="1182"/>
      <c r="S705" s="1182"/>
      <c r="T705" s="1182"/>
      <c r="U705" s="1182"/>
      <c r="V705" s="1182"/>
      <c r="W705" s="1182"/>
      <c r="X705" s="1182"/>
      <c r="Y705" s="1182"/>
    </row>
    <row r="706" spans="1:25" x14ac:dyDescent="0.2">
      <c r="A706" s="1763"/>
      <c r="B706" s="1763"/>
      <c r="C706" s="1763"/>
      <c r="D706" s="1763"/>
      <c r="E706" s="1181"/>
      <c r="R706" s="1182"/>
      <c r="S706" s="1182"/>
      <c r="T706" s="1182"/>
      <c r="U706" s="1182"/>
      <c r="V706" s="1182"/>
      <c r="W706" s="1182"/>
      <c r="X706" s="1182"/>
      <c r="Y706" s="1182"/>
    </row>
    <row r="707" spans="1:25" x14ac:dyDescent="0.2">
      <c r="A707" s="1763"/>
      <c r="B707" s="1763"/>
      <c r="C707" s="1763"/>
      <c r="D707" s="1763"/>
      <c r="E707" s="1181"/>
      <c r="R707" s="1182"/>
      <c r="S707" s="1182"/>
      <c r="T707" s="1182"/>
      <c r="U707" s="1182"/>
      <c r="V707" s="1182"/>
      <c r="W707" s="1182"/>
      <c r="X707" s="1182"/>
      <c r="Y707" s="1182"/>
    </row>
    <row r="708" spans="1:25" x14ac:dyDescent="0.2">
      <c r="A708" s="1763"/>
      <c r="B708" s="1763"/>
      <c r="C708" s="1763"/>
      <c r="D708" s="1763"/>
      <c r="E708" s="1181"/>
      <c r="R708" s="1182"/>
      <c r="S708" s="1182"/>
      <c r="T708" s="1182"/>
      <c r="U708" s="1182"/>
      <c r="V708" s="1182"/>
      <c r="W708" s="1182"/>
      <c r="X708" s="1182"/>
      <c r="Y708" s="1182"/>
    </row>
    <row r="709" spans="1:25" x14ac:dyDescent="0.2">
      <c r="A709" s="1763"/>
      <c r="B709" s="1763"/>
      <c r="C709" s="1763"/>
      <c r="D709" s="1763"/>
      <c r="E709" s="1181"/>
      <c r="R709" s="1182"/>
      <c r="S709" s="1182"/>
      <c r="T709" s="1182"/>
      <c r="U709" s="1182"/>
      <c r="V709" s="1182"/>
      <c r="W709" s="1182"/>
      <c r="X709" s="1182"/>
      <c r="Y709" s="1182"/>
    </row>
    <row r="710" spans="1:25" x14ac:dyDescent="0.2">
      <c r="A710" s="1763"/>
      <c r="B710" s="1763"/>
      <c r="C710" s="1763"/>
      <c r="D710" s="1763"/>
      <c r="E710" s="1181"/>
      <c r="R710" s="1182"/>
      <c r="S710" s="1182"/>
      <c r="T710" s="1182"/>
      <c r="U710" s="1182"/>
      <c r="V710" s="1182"/>
      <c r="W710" s="1182"/>
      <c r="X710" s="1182"/>
      <c r="Y710" s="1182"/>
    </row>
    <row r="711" spans="1:25" x14ac:dyDescent="0.2">
      <c r="A711" s="1763"/>
      <c r="B711" s="1763"/>
      <c r="C711" s="1763"/>
      <c r="D711" s="1763"/>
      <c r="E711" s="1181"/>
      <c r="R711" s="1182"/>
      <c r="S711" s="1182"/>
      <c r="T711" s="1182"/>
      <c r="U711" s="1182"/>
      <c r="V711" s="1182"/>
      <c r="W711" s="1182"/>
      <c r="X711" s="1182"/>
      <c r="Y711" s="1182"/>
    </row>
    <row r="712" spans="1:25" x14ac:dyDescent="0.2">
      <c r="A712" s="1763"/>
      <c r="B712" s="1763"/>
      <c r="C712" s="1763"/>
      <c r="D712" s="1763"/>
      <c r="E712" s="1181"/>
      <c r="R712" s="1182"/>
      <c r="S712" s="1182"/>
      <c r="T712" s="1182"/>
      <c r="U712" s="1182"/>
      <c r="V712" s="1182"/>
      <c r="W712" s="1182"/>
      <c r="X712" s="1182"/>
      <c r="Y712" s="1182"/>
    </row>
    <row r="713" spans="1:25" x14ac:dyDescent="0.2">
      <c r="A713" s="1763"/>
      <c r="B713" s="1763"/>
      <c r="C713" s="1763"/>
      <c r="D713" s="1763"/>
      <c r="E713" s="1181"/>
      <c r="R713" s="1182"/>
      <c r="S713" s="1182"/>
      <c r="T713" s="1182"/>
      <c r="U713" s="1182"/>
      <c r="V713" s="1182"/>
      <c r="W713" s="1182"/>
      <c r="X713" s="1182"/>
      <c r="Y713" s="1182"/>
    </row>
    <row r="714" spans="1:25" x14ac:dyDescent="0.2">
      <c r="A714" s="1763"/>
      <c r="B714" s="1763"/>
      <c r="C714" s="1763"/>
      <c r="D714" s="1763"/>
      <c r="E714" s="1181"/>
      <c r="R714" s="1182"/>
      <c r="S714" s="1182"/>
      <c r="T714" s="1182"/>
      <c r="U714" s="1182"/>
      <c r="V714" s="1182"/>
      <c r="W714" s="1182"/>
      <c r="X714" s="1182"/>
      <c r="Y714" s="1182"/>
    </row>
    <row r="715" spans="1:25" x14ac:dyDescent="0.2">
      <c r="A715" s="1763"/>
      <c r="B715" s="1763"/>
      <c r="C715" s="1763"/>
      <c r="D715" s="1763"/>
      <c r="E715" s="1181"/>
      <c r="R715" s="1182"/>
      <c r="S715" s="1182"/>
      <c r="T715" s="1182"/>
      <c r="U715" s="1182"/>
      <c r="V715" s="1182"/>
      <c r="W715" s="1182"/>
      <c r="X715" s="1182"/>
      <c r="Y715" s="1182"/>
    </row>
    <row r="716" spans="1:25" x14ac:dyDescent="0.2">
      <c r="A716" s="1763"/>
      <c r="B716" s="1763"/>
      <c r="C716" s="1763"/>
      <c r="D716" s="1763"/>
      <c r="E716" s="1181"/>
      <c r="R716" s="1182"/>
      <c r="S716" s="1182"/>
      <c r="T716" s="1182"/>
      <c r="U716" s="1182"/>
      <c r="V716" s="1182"/>
      <c r="W716" s="1182"/>
      <c r="X716" s="1182"/>
      <c r="Y716" s="1182"/>
    </row>
    <row r="717" spans="1:25" x14ac:dyDescent="0.2">
      <c r="A717" s="1763"/>
      <c r="B717" s="1763"/>
      <c r="C717" s="1763"/>
      <c r="D717" s="1763"/>
      <c r="E717" s="1181"/>
      <c r="R717" s="1182"/>
      <c r="S717" s="1182"/>
      <c r="T717" s="1182"/>
      <c r="U717" s="1182"/>
      <c r="V717" s="1182"/>
      <c r="W717" s="1182"/>
      <c r="X717" s="1182"/>
      <c r="Y717" s="1182"/>
    </row>
    <row r="718" spans="1:25" x14ac:dyDescent="0.2">
      <c r="A718" s="1763"/>
      <c r="B718" s="1763"/>
      <c r="C718" s="1763"/>
      <c r="D718" s="1763"/>
      <c r="E718" s="1181"/>
      <c r="R718" s="1182"/>
      <c r="S718" s="1182"/>
      <c r="T718" s="1182"/>
      <c r="U718" s="1182"/>
      <c r="V718" s="1182"/>
      <c r="W718" s="1182"/>
      <c r="X718" s="1182"/>
      <c r="Y718" s="1182"/>
    </row>
    <row r="719" spans="1:25" x14ac:dyDescent="0.2">
      <c r="A719" s="1763"/>
      <c r="B719" s="1763"/>
      <c r="C719" s="1763"/>
      <c r="D719" s="1763"/>
      <c r="E719" s="1181"/>
      <c r="R719" s="1182"/>
      <c r="S719" s="1182"/>
      <c r="T719" s="1182"/>
      <c r="U719" s="1182"/>
      <c r="V719" s="1182"/>
      <c r="W719" s="1182"/>
      <c r="X719" s="1182"/>
      <c r="Y719" s="1182"/>
    </row>
    <row r="720" spans="1:25" x14ac:dyDescent="0.2">
      <c r="A720" s="1763"/>
      <c r="B720" s="1763"/>
      <c r="C720" s="1763"/>
      <c r="D720" s="1763"/>
      <c r="E720" s="1181"/>
      <c r="R720" s="1182"/>
      <c r="S720" s="1182"/>
      <c r="T720" s="1182"/>
      <c r="U720" s="1182"/>
      <c r="V720" s="1182"/>
      <c r="W720" s="1182"/>
      <c r="X720" s="1182"/>
      <c r="Y720" s="1182"/>
    </row>
    <row r="721" spans="1:25" x14ac:dyDescent="0.2">
      <c r="A721" s="1763"/>
      <c r="B721" s="1763"/>
      <c r="C721" s="1763"/>
      <c r="D721" s="1763"/>
      <c r="E721" s="1181"/>
      <c r="R721" s="1182"/>
      <c r="S721" s="1182"/>
      <c r="T721" s="1182"/>
      <c r="U721" s="1182"/>
      <c r="V721" s="1182"/>
      <c r="W721" s="1182"/>
      <c r="X721" s="1182"/>
      <c r="Y721" s="1182"/>
    </row>
    <row r="722" spans="1:25" x14ac:dyDescent="0.2">
      <c r="A722" s="1763"/>
      <c r="B722" s="1763"/>
      <c r="C722" s="1763"/>
      <c r="D722" s="1763"/>
      <c r="E722" s="1181"/>
      <c r="R722" s="1182"/>
      <c r="S722" s="1182"/>
      <c r="T722" s="1182"/>
      <c r="U722" s="1182"/>
      <c r="V722" s="1182"/>
      <c r="W722" s="1182"/>
      <c r="X722" s="1182"/>
      <c r="Y722" s="1182"/>
    </row>
    <row r="723" spans="1:25" x14ac:dyDescent="0.2">
      <c r="A723" s="1763"/>
      <c r="B723" s="1763"/>
      <c r="C723" s="1763"/>
      <c r="D723" s="1763"/>
      <c r="E723" s="1181"/>
      <c r="R723" s="1182"/>
      <c r="S723" s="1182"/>
      <c r="T723" s="1182"/>
      <c r="U723" s="1182"/>
      <c r="V723" s="1182"/>
      <c r="W723" s="1182"/>
      <c r="X723" s="1182"/>
      <c r="Y723" s="1182"/>
    </row>
    <row r="724" spans="1:25" x14ac:dyDescent="0.2">
      <c r="A724" s="1763"/>
      <c r="B724" s="1763"/>
      <c r="C724" s="1763"/>
      <c r="D724" s="1763"/>
      <c r="E724" s="1181"/>
      <c r="R724" s="1182"/>
      <c r="S724" s="1182"/>
      <c r="T724" s="1182"/>
      <c r="U724" s="1182"/>
      <c r="V724" s="1182"/>
      <c r="W724" s="1182"/>
      <c r="X724" s="1182"/>
      <c r="Y724" s="1182"/>
    </row>
    <row r="725" spans="1:25" x14ac:dyDescent="0.2">
      <c r="A725" s="1763"/>
      <c r="B725" s="1763"/>
      <c r="C725" s="1763"/>
      <c r="D725" s="1763"/>
      <c r="E725" s="1181"/>
      <c r="R725" s="1182"/>
      <c r="S725" s="1182"/>
      <c r="T725" s="1182"/>
      <c r="U725" s="1182"/>
      <c r="V725" s="1182"/>
      <c r="W725" s="1182"/>
      <c r="X725" s="1182"/>
      <c r="Y725" s="1182"/>
    </row>
    <row r="726" spans="1:25" x14ac:dyDescent="0.2">
      <c r="A726" s="1763"/>
      <c r="B726" s="1763"/>
      <c r="C726" s="1763"/>
      <c r="D726" s="1763"/>
      <c r="E726" s="1181"/>
      <c r="R726" s="1182"/>
      <c r="S726" s="1182"/>
      <c r="T726" s="1182"/>
      <c r="U726" s="1182"/>
      <c r="V726" s="1182"/>
      <c r="W726" s="1182"/>
      <c r="X726" s="1182"/>
      <c r="Y726" s="1182"/>
    </row>
    <row r="727" spans="1:25" x14ac:dyDescent="0.2">
      <c r="A727" s="1763"/>
      <c r="B727" s="1763"/>
      <c r="C727" s="1763"/>
      <c r="D727" s="1763"/>
      <c r="E727" s="1181"/>
      <c r="R727" s="1182"/>
      <c r="S727" s="1182"/>
      <c r="T727" s="1182"/>
      <c r="U727" s="1182"/>
      <c r="V727" s="1182"/>
      <c r="W727" s="1182"/>
      <c r="X727" s="1182"/>
      <c r="Y727" s="1182"/>
    </row>
    <row r="728" spans="1:25" x14ac:dyDescent="0.2">
      <c r="A728" s="1763"/>
      <c r="B728" s="1763"/>
      <c r="C728" s="1763"/>
      <c r="D728" s="1763"/>
      <c r="E728" s="1181"/>
      <c r="R728" s="1182"/>
      <c r="S728" s="1182"/>
      <c r="T728" s="1182"/>
      <c r="U728" s="1182"/>
      <c r="V728" s="1182"/>
      <c r="W728" s="1182"/>
      <c r="X728" s="1182"/>
      <c r="Y728" s="1182"/>
    </row>
    <row r="729" spans="1:25" x14ac:dyDescent="0.2">
      <c r="A729" s="1763"/>
      <c r="B729" s="1763"/>
      <c r="C729" s="1763"/>
      <c r="D729" s="1763"/>
      <c r="E729" s="1181"/>
      <c r="R729" s="1182"/>
      <c r="S729" s="1182"/>
      <c r="T729" s="1182"/>
      <c r="U729" s="1182"/>
      <c r="V729" s="1182"/>
      <c r="W729" s="1182"/>
      <c r="X729" s="1182"/>
      <c r="Y729" s="1182"/>
    </row>
    <row r="730" spans="1:25" x14ac:dyDescent="0.2">
      <c r="A730" s="1763"/>
      <c r="B730" s="1763"/>
      <c r="C730" s="1763"/>
      <c r="D730" s="1763"/>
      <c r="E730" s="1181"/>
      <c r="R730" s="1182"/>
      <c r="S730" s="1182"/>
      <c r="T730" s="1182"/>
      <c r="U730" s="1182"/>
      <c r="V730" s="1182"/>
      <c r="W730" s="1182"/>
      <c r="X730" s="1182"/>
      <c r="Y730" s="1182"/>
    </row>
    <row r="731" spans="1:25" x14ac:dyDescent="0.2">
      <c r="A731" s="1763"/>
      <c r="B731" s="1763"/>
      <c r="C731" s="1763"/>
      <c r="D731" s="1763"/>
      <c r="E731" s="1181"/>
      <c r="R731" s="1182"/>
      <c r="S731" s="1182"/>
      <c r="T731" s="1182"/>
      <c r="U731" s="1182"/>
      <c r="V731" s="1182"/>
      <c r="W731" s="1182"/>
      <c r="X731" s="1182"/>
      <c r="Y731" s="1182"/>
    </row>
    <row r="732" spans="1:25" x14ac:dyDescent="0.2">
      <c r="A732" s="1763"/>
      <c r="B732" s="1763"/>
      <c r="C732" s="1763"/>
      <c r="D732" s="1763"/>
      <c r="E732" s="1181"/>
      <c r="R732" s="1182"/>
      <c r="S732" s="1182"/>
      <c r="T732" s="1182"/>
      <c r="U732" s="1182"/>
      <c r="V732" s="1182"/>
      <c r="W732" s="1182"/>
      <c r="X732" s="1182"/>
      <c r="Y732" s="1182"/>
    </row>
    <row r="733" spans="1:25" x14ac:dyDescent="0.2">
      <c r="A733" s="1763"/>
      <c r="B733" s="1763"/>
      <c r="C733" s="1763"/>
      <c r="D733" s="1763"/>
      <c r="E733" s="1181"/>
      <c r="R733" s="1182"/>
      <c r="S733" s="1182"/>
      <c r="T733" s="1182"/>
      <c r="U733" s="1182"/>
      <c r="V733" s="1182"/>
      <c r="W733" s="1182"/>
      <c r="X733" s="1182"/>
      <c r="Y733" s="1182"/>
    </row>
    <row r="734" spans="1:25" x14ac:dyDescent="0.2">
      <c r="A734" s="1763"/>
      <c r="B734" s="1763"/>
      <c r="C734" s="1763"/>
      <c r="D734" s="1763"/>
      <c r="E734" s="1181"/>
      <c r="R734" s="1182"/>
      <c r="S734" s="1182"/>
      <c r="T734" s="1182"/>
      <c r="U734" s="1182"/>
      <c r="V734" s="1182"/>
      <c r="W734" s="1182"/>
      <c r="X734" s="1182"/>
      <c r="Y734" s="1182"/>
    </row>
    <row r="735" spans="1:25" x14ac:dyDescent="0.2">
      <c r="A735" s="1763"/>
      <c r="B735" s="1763"/>
      <c r="C735" s="1763"/>
      <c r="D735" s="1763"/>
      <c r="E735" s="1181"/>
      <c r="R735" s="1182"/>
      <c r="S735" s="1182"/>
      <c r="T735" s="1182"/>
      <c r="U735" s="1182"/>
      <c r="V735" s="1182"/>
      <c r="W735" s="1182"/>
      <c r="X735" s="1182"/>
      <c r="Y735" s="1182"/>
    </row>
    <row r="736" spans="1:25" x14ac:dyDescent="0.2">
      <c r="A736" s="1763"/>
      <c r="B736" s="1763"/>
      <c r="C736" s="1763"/>
      <c r="D736" s="1763"/>
      <c r="E736" s="1181"/>
      <c r="R736" s="1182"/>
      <c r="S736" s="1182"/>
      <c r="T736" s="1182"/>
      <c r="U736" s="1182"/>
      <c r="V736" s="1182"/>
      <c r="W736" s="1182"/>
      <c r="X736" s="1182"/>
      <c r="Y736" s="1182"/>
    </row>
    <row r="737" spans="1:25" x14ac:dyDescent="0.2">
      <c r="A737" s="1763"/>
      <c r="B737" s="1763"/>
      <c r="C737" s="1763"/>
      <c r="D737" s="1763"/>
      <c r="E737" s="1181"/>
      <c r="R737" s="1182"/>
      <c r="S737" s="1182"/>
      <c r="T737" s="1182"/>
      <c r="U737" s="1182"/>
      <c r="V737" s="1182"/>
      <c r="W737" s="1182"/>
      <c r="X737" s="1182"/>
      <c r="Y737" s="1182"/>
    </row>
    <row r="738" spans="1:25" x14ac:dyDescent="0.2">
      <c r="A738" s="1763"/>
      <c r="B738" s="1763"/>
      <c r="C738" s="1763"/>
      <c r="D738" s="1763"/>
      <c r="E738" s="1181"/>
      <c r="R738" s="1182"/>
      <c r="S738" s="1182"/>
      <c r="T738" s="1182"/>
      <c r="U738" s="1182"/>
      <c r="V738" s="1182"/>
      <c r="W738" s="1182"/>
      <c r="X738" s="1182"/>
      <c r="Y738" s="1182"/>
    </row>
    <row r="739" spans="1:25" x14ac:dyDescent="0.2">
      <c r="A739" s="1763"/>
      <c r="B739" s="1763"/>
      <c r="C739" s="1763"/>
      <c r="D739" s="1763"/>
      <c r="E739" s="1181"/>
      <c r="R739" s="1182"/>
      <c r="S739" s="1182"/>
      <c r="T739" s="1182"/>
      <c r="U739" s="1182"/>
      <c r="V739" s="1182"/>
      <c r="W739" s="1182"/>
      <c r="X739" s="1182"/>
      <c r="Y739" s="1182"/>
    </row>
    <row r="740" spans="1:25" x14ac:dyDescent="0.2">
      <c r="A740" s="1763"/>
      <c r="B740" s="1763"/>
      <c r="C740" s="1763"/>
      <c r="D740" s="1763"/>
      <c r="E740" s="1181"/>
      <c r="R740" s="1182"/>
      <c r="S740" s="1182"/>
      <c r="T740" s="1182"/>
      <c r="U740" s="1182"/>
      <c r="V740" s="1182"/>
      <c r="W740" s="1182"/>
      <c r="X740" s="1182"/>
      <c r="Y740" s="1182"/>
    </row>
    <row r="741" spans="1:25" x14ac:dyDescent="0.2">
      <c r="A741" s="1763"/>
      <c r="B741" s="1763"/>
      <c r="C741" s="1763"/>
      <c r="D741" s="1763"/>
      <c r="E741" s="1181"/>
      <c r="R741" s="1182"/>
      <c r="S741" s="1182"/>
      <c r="T741" s="1182"/>
      <c r="U741" s="1182"/>
      <c r="V741" s="1182"/>
      <c r="W741" s="1182"/>
      <c r="X741" s="1182"/>
      <c r="Y741" s="1182"/>
    </row>
    <row r="742" spans="1:25" x14ac:dyDescent="0.2">
      <c r="A742" s="1763"/>
      <c r="B742" s="1763"/>
      <c r="C742" s="1763"/>
      <c r="D742" s="1763"/>
      <c r="E742" s="1181"/>
      <c r="R742" s="1182"/>
      <c r="S742" s="1182"/>
      <c r="T742" s="1182"/>
      <c r="U742" s="1182"/>
      <c r="V742" s="1182"/>
      <c r="W742" s="1182"/>
      <c r="X742" s="1182"/>
      <c r="Y742" s="1182"/>
    </row>
    <row r="743" spans="1:25" x14ac:dyDescent="0.2">
      <c r="A743" s="1763"/>
      <c r="B743" s="1763"/>
      <c r="C743" s="1763"/>
      <c r="D743" s="1763"/>
      <c r="E743" s="1181"/>
      <c r="R743" s="1182"/>
      <c r="S743" s="1182"/>
      <c r="T743" s="1182"/>
      <c r="U743" s="1182"/>
      <c r="V743" s="1182"/>
      <c r="W743" s="1182"/>
      <c r="X743" s="1182"/>
      <c r="Y743" s="1182"/>
    </row>
    <row r="744" spans="1:25" x14ac:dyDescent="0.2">
      <c r="A744" s="1763"/>
      <c r="B744" s="1763"/>
      <c r="C744" s="1763"/>
      <c r="D744" s="1763"/>
      <c r="E744" s="1181"/>
      <c r="R744" s="1182"/>
      <c r="S744" s="1182"/>
      <c r="T744" s="1182"/>
      <c r="U744" s="1182"/>
      <c r="V744" s="1182"/>
      <c r="W744" s="1182"/>
      <c r="X744" s="1182"/>
      <c r="Y744" s="1182"/>
    </row>
    <row r="745" spans="1:25" x14ac:dyDescent="0.2">
      <c r="A745" s="1763"/>
      <c r="B745" s="1763"/>
      <c r="C745" s="1763"/>
      <c r="D745" s="1763"/>
      <c r="E745" s="1181"/>
      <c r="R745" s="1182"/>
      <c r="S745" s="1182"/>
      <c r="T745" s="1182"/>
      <c r="U745" s="1182"/>
      <c r="V745" s="1182"/>
      <c r="W745" s="1182"/>
      <c r="X745" s="1182"/>
      <c r="Y745" s="1182"/>
    </row>
    <row r="746" spans="1:25" x14ac:dyDescent="0.2">
      <c r="A746" s="1763"/>
      <c r="B746" s="1763"/>
      <c r="C746" s="1763"/>
      <c r="D746" s="1763"/>
      <c r="E746" s="1181"/>
      <c r="R746" s="1182"/>
      <c r="S746" s="1182"/>
      <c r="T746" s="1182"/>
      <c r="U746" s="1182"/>
      <c r="V746" s="1182"/>
      <c r="W746" s="1182"/>
      <c r="X746" s="1182"/>
      <c r="Y746" s="1182"/>
    </row>
    <row r="747" spans="1:25" x14ac:dyDescent="0.2">
      <c r="A747" s="1763"/>
      <c r="B747" s="1763"/>
      <c r="C747" s="1763"/>
      <c r="D747" s="1763"/>
      <c r="E747" s="1181"/>
      <c r="R747" s="1182"/>
      <c r="S747" s="1182"/>
      <c r="T747" s="1182"/>
      <c r="U747" s="1182"/>
      <c r="V747" s="1182"/>
      <c r="W747" s="1182"/>
      <c r="X747" s="1182"/>
      <c r="Y747" s="1182"/>
    </row>
    <row r="748" spans="1:25" x14ac:dyDescent="0.2">
      <c r="A748" s="1763"/>
      <c r="B748" s="1763"/>
      <c r="C748" s="1763"/>
      <c r="D748" s="1763"/>
      <c r="E748" s="1181"/>
      <c r="R748" s="1182"/>
      <c r="S748" s="1182"/>
      <c r="T748" s="1182"/>
      <c r="U748" s="1182"/>
      <c r="V748" s="1182"/>
      <c r="W748" s="1182"/>
      <c r="X748" s="1182"/>
      <c r="Y748" s="1182"/>
    </row>
    <row r="749" spans="1:25" x14ac:dyDescent="0.2">
      <c r="A749" s="1763"/>
      <c r="B749" s="1763"/>
      <c r="C749" s="1763"/>
      <c r="D749" s="1763"/>
      <c r="E749" s="1181"/>
      <c r="R749" s="1182"/>
      <c r="S749" s="1182"/>
      <c r="T749" s="1182"/>
      <c r="U749" s="1182"/>
      <c r="V749" s="1182"/>
      <c r="W749" s="1182"/>
      <c r="X749" s="1182"/>
      <c r="Y749" s="1182"/>
    </row>
    <row r="750" spans="1:25" x14ac:dyDescent="0.2">
      <c r="A750" s="1763"/>
      <c r="B750" s="1763"/>
      <c r="C750" s="1763"/>
      <c r="D750" s="1763"/>
      <c r="E750" s="1181"/>
      <c r="R750" s="1182"/>
      <c r="S750" s="1182"/>
      <c r="T750" s="1182"/>
      <c r="U750" s="1182"/>
      <c r="V750" s="1182"/>
      <c r="W750" s="1182"/>
      <c r="X750" s="1182"/>
      <c r="Y750" s="1182"/>
    </row>
    <row r="751" spans="1:25" x14ac:dyDescent="0.2">
      <c r="A751" s="1763"/>
      <c r="B751" s="1763"/>
      <c r="C751" s="1763"/>
      <c r="D751" s="1763"/>
      <c r="E751" s="1181"/>
      <c r="R751" s="1182"/>
      <c r="S751" s="1182"/>
      <c r="T751" s="1182"/>
      <c r="U751" s="1182"/>
      <c r="V751" s="1182"/>
      <c r="W751" s="1182"/>
      <c r="X751" s="1182"/>
      <c r="Y751" s="1182"/>
    </row>
    <row r="752" spans="1:25" x14ac:dyDescent="0.2">
      <c r="A752" s="1763"/>
      <c r="B752" s="1763"/>
      <c r="C752" s="1763"/>
      <c r="D752" s="1763"/>
      <c r="E752" s="1181"/>
      <c r="R752" s="1182"/>
      <c r="S752" s="1182"/>
      <c r="T752" s="1182"/>
      <c r="U752" s="1182"/>
      <c r="V752" s="1182"/>
      <c r="W752" s="1182"/>
      <c r="X752" s="1182"/>
      <c r="Y752" s="1182"/>
    </row>
    <row r="753" spans="1:25" x14ac:dyDescent="0.2">
      <c r="A753" s="1763"/>
      <c r="B753" s="1763"/>
      <c r="C753" s="1763"/>
      <c r="D753" s="1763"/>
      <c r="E753" s="1181"/>
      <c r="R753" s="1182"/>
      <c r="S753" s="1182"/>
      <c r="T753" s="1182"/>
      <c r="U753" s="1182"/>
      <c r="V753" s="1182"/>
      <c r="W753" s="1182"/>
      <c r="X753" s="1182"/>
      <c r="Y753" s="1182"/>
    </row>
    <row r="754" spans="1:25" x14ac:dyDescent="0.2">
      <c r="A754" s="1763"/>
      <c r="B754" s="1763"/>
      <c r="C754" s="1763"/>
      <c r="D754" s="1763"/>
      <c r="E754" s="1181"/>
      <c r="R754" s="1182"/>
      <c r="S754" s="1182"/>
      <c r="T754" s="1182"/>
      <c r="U754" s="1182"/>
      <c r="V754" s="1182"/>
      <c r="W754" s="1182"/>
      <c r="X754" s="1182"/>
      <c r="Y754" s="1182"/>
    </row>
    <row r="755" spans="1:25" x14ac:dyDescent="0.2">
      <c r="A755" s="1763"/>
      <c r="B755" s="1763"/>
      <c r="C755" s="1763"/>
      <c r="D755" s="1763"/>
      <c r="E755" s="1181"/>
      <c r="R755" s="1182"/>
      <c r="S755" s="1182"/>
      <c r="T755" s="1182"/>
      <c r="U755" s="1182"/>
      <c r="V755" s="1182"/>
      <c r="W755" s="1182"/>
      <c r="X755" s="1182"/>
      <c r="Y755" s="1182"/>
    </row>
    <row r="756" spans="1:25" x14ac:dyDescent="0.2">
      <c r="A756" s="1763"/>
      <c r="B756" s="1763"/>
      <c r="C756" s="1763"/>
      <c r="D756" s="1763"/>
      <c r="E756" s="1181"/>
      <c r="R756" s="1182"/>
      <c r="S756" s="1182"/>
      <c r="T756" s="1182"/>
      <c r="U756" s="1182"/>
      <c r="V756" s="1182"/>
      <c r="W756" s="1182"/>
      <c r="X756" s="1182"/>
      <c r="Y756" s="1182"/>
    </row>
    <row r="757" spans="1:25" x14ac:dyDescent="0.2">
      <c r="A757" s="1763"/>
      <c r="B757" s="1763"/>
      <c r="C757" s="1763"/>
      <c r="D757" s="1763"/>
      <c r="E757" s="1181"/>
      <c r="R757" s="1182"/>
      <c r="S757" s="1182"/>
      <c r="T757" s="1182"/>
      <c r="U757" s="1182"/>
      <c r="V757" s="1182"/>
      <c r="W757" s="1182"/>
      <c r="X757" s="1182"/>
      <c r="Y757" s="1182"/>
    </row>
    <row r="758" spans="1:25" x14ac:dyDescent="0.2">
      <c r="A758" s="1763"/>
      <c r="B758" s="1763"/>
      <c r="C758" s="1763"/>
      <c r="D758" s="1763"/>
      <c r="E758" s="1181"/>
      <c r="R758" s="1182"/>
      <c r="S758" s="1182"/>
      <c r="T758" s="1182"/>
      <c r="U758" s="1182"/>
      <c r="V758" s="1182"/>
      <c r="W758" s="1182"/>
      <c r="X758" s="1182"/>
      <c r="Y758" s="1182"/>
    </row>
    <row r="759" spans="1:25" x14ac:dyDescent="0.2">
      <c r="A759" s="1763"/>
      <c r="B759" s="1763"/>
      <c r="C759" s="1763"/>
      <c r="D759" s="1763"/>
      <c r="E759" s="1181"/>
      <c r="R759" s="1182"/>
      <c r="S759" s="1182"/>
      <c r="T759" s="1182"/>
      <c r="U759" s="1182"/>
      <c r="V759" s="1182"/>
      <c r="W759" s="1182"/>
      <c r="X759" s="1182"/>
      <c r="Y759" s="1182"/>
    </row>
    <row r="760" spans="1:25" x14ac:dyDescent="0.2">
      <c r="A760" s="1763"/>
      <c r="B760" s="1763"/>
      <c r="C760" s="1763"/>
      <c r="D760" s="1763"/>
      <c r="E760" s="1181"/>
      <c r="R760" s="1182"/>
      <c r="S760" s="1182"/>
      <c r="T760" s="1182"/>
      <c r="U760" s="1182"/>
      <c r="V760" s="1182"/>
      <c r="W760" s="1182"/>
      <c r="X760" s="1182"/>
      <c r="Y760" s="1182"/>
    </row>
    <row r="761" spans="1:25" x14ac:dyDescent="0.2">
      <c r="A761" s="1763"/>
      <c r="B761" s="1763"/>
      <c r="C761" s="1763"/>
      <c r="D761" s="1763"/>
      <c r="E761" s="1181"/>
      <c r="R761" s="1182"/>
      <c r="S761" s="1182"/>
      <c r="T761" s="1182"/>
      <c r="U761" s="1182"/>
      <c r="V761" s="1182"/>
      <c r="W761" s="1182"/>
      <c r="X761" s="1182"/>
      <c r="Y761" s="1182"/>
    </row>
    <row r="762" spans="1:25" x14ac:dyDescent="0.2">
      <c r="A762" s="1763"/>
      <c r="B762" s="1763"/>
      <c r="C762" s="1763"/>
      <c r="D762" s="1763"/>
      <c r="E762" s="1181"/>
      <c r="R762" s="1182"/>
      <c r="S762" s="1182"/>
      <c r="T762" s="1182"/>
      <c r="U762" s="1182"/>
      <c r="V762" s="1182"/>
      <c r="W762" s="1182"/>
      <c r="X762" s="1182"/>
      <c r="Y762" s="1182"/>
    </row>
    <row r="763" spans="1:25" x14ac:dyDescent="0.2">
      <c r="A763" s="1763"/>
      <c r="B763" s="1763"/>
      <c r="C763" s="1763"/>
      <c r="D763" s="1763"/>
      <c r="E763" s="1181"/>
      <c r="R763" s="1182"/>
      <c r="S763" s="1182"/>
      <c r="T763" s="1182"/>
      <c r="U763" s="1182"/>
      <c r="V763" s="1182"/>
      <c r="W763" s="1182"/>
      <c r="X763" s="1182"/>
      <c r="Y763" s="1182"/>
    </row>
    <row r="764" spans="1:25" x14ac:dyDescent="0.2">
      <c r="A764" s="1763"/>
      <c r="B764" s="1763"/>
      <c r="C764" s="1763"/>
      <c r="D764" s="1763"/>
      <c r="E764" s="1181"/>
      <c r="R764" s="1182"/>
      <c r="S764" s="1182"/>
      <c r="T764" s="1182"/>
      <c r="U764" s="1182"/>
      <c r="V764" s="1182"/>
      <c r="W764" s="1182"/>
      <c r="X764" s="1182"/>
      <c r="Y764" s="1182"/>
    </row>
    <row r="765" spans="1:25" x14ac:dyDescent="0.2">
      <c r="A765" s="1763"/>
      <c r="B765" s="1763"/>
      <c r="C765" s="1763"/>
      <c r="D765" s="1763"/>
      <c r="E765" s="1181"/>
      <c r="R765" s="1182"/>
      <c r="S765" s="1182"/>
      <c r="T765" s="1182"/>
      <c r="U765" s="1182"/>
      <c r="V765" s="1182"/>
      <c r="W765" s="1182"/>
      <c r="X765" s="1182"/>
      <c r="Y765" s="1182"/>
    </row>
    <row r="766" spans="1:25" x14ac:dyDescent="0.2">
      <c r="A766" s="1763"/>
      <c r="B766" s="1763"/>
      <c r="C766" s="1763"/>
      <c r="D766" s="1763"/>
      <c r="E766" s="1181"/>
      <c r="R766" s="1182"/>
      <c r="S766" s="1182"/>
      <c r="T766" s="1182"/>
      <c r="U766" s="1182"/>
      <c r="V766" s="1182"/>
      <c r="W766" s="1182"/>
      <c r="X766" s="1182"/>
      <c r="Y766" s="1182"/>
    </row>
    <row r="767" spans="1:25" x14ac:dyDescent="0.2">
      <c r="A767" s="1763"/>
      <c r="B767" s="1763"/>
      <c r="C767" s="1763"/>
      <c r="D767" s="1763"/>
      <c r="E767" s="1181"/>
      <c r="R767" s="1182"/>
      <c r="S767" s="1182"/>
      <c r="T767" s="1182"/>
      <c r="U767" s="1182"/>
      <c r="V767" s="1182"/>
      <c r="W767" s="1182"/>
      <c r="X767" s="1182"/>
      <c r="Y767" s="1182"/>
    </row>
    <row r="768" spans="1:25" x14ac:dyDescent="0.2">
      <c r="A768" s="1763"/>
      <c r="B768" s="1763"/>
      <c r="C768" s="1763"/>
      <c r="D768" s="1763"/>
      <c r="E768" s="1181"/>
      <c r="R768" s="1182"/>
      <c r="S768" s="1182"/>
      <c r="T768" s="1182"/>
      <c r="U768" s="1182"/>
      <c r="V768" s="1182"/>
      <c r="W768" s="1182"/>
      <c r="X768" s="1182"/>
      <c r="Y768" s="1182"/>
    </row>
    <row r="769" spans="1:25" x14ac:dyDescent="0.2">
      <c r="A769" s="1763"/>
      <c r="B769" s="1763"/>
      <c r="C769" s="1763"/>
      <c r="D769" s="1763"/>
      <c r="E769" s="1181"/>
      <c r="R769" s="1182"/>
      <c r="S769" s="1182"/>
      <c r="T769" s="1182"/>
      <c r="U769" s="1182"/>
      <c r="V769" s="1182"/>
      <c r="W769" s="1182"/>
      <c r="X769" s="1182"/>
      <c r="Y769" s="1182"/>
    </row>
    <row r="770" spans="1:25" x14ac:dyDescent="0.2">
      <c r="A770" s="1763"/>
      <c r="B770" s="1763"/>
      <c r="C770" s="1763"/>
      <c r="D770" s="1763"/>
      <c r="E770" s="1181"/>
      <c r="R770" s="1182"/>
      <c r="S770" s="1182"/>
      <c r="T770" s="1182"/>
      <c r="U770" s="1182"/>
      <c r="V770" s="1182"/>
      <c r="W770" s="1182"/>
      <c r="X770" s="1182"/>
      <c r="Y770" s="1182"/>
    </row>
    <row r="771" spans="1:25" x14ac:dyDescent="0.2">
      <c r="A771" s="1763"/>
      <c r="B771" s="1763"/>
      <c r="C771" s="1763"/>
      <c r="D771" s="1763"/>
      <c r="E771" s="1181"/>
      <c r="R771" s="1182"/>
      <c r="S771" s="1182"/>
      <c r="T771" s="1182"/>
      <c r="U771" s="1182"/>
      <c r="V771" s="1182"/>
      <c r="W771" s="1182"/>
      <c r="X771" s="1182"/>
      <c r="Y771" s="1182"/>
    </row>
    <row r="772" spans="1:25" x14ac:dyDescent="0.2">
      <c r="A772" s="1763"/>
      <c r="B772" s="1763"/>
      <c r="C772" s="1763"/>
      <c r="D772" s="1763"/>
      <c r="E772" s="1181"/>
      <c r="R772" s="1182"/>
      <c r="S772" s="1182"/>
      <c r="T772" s="1182"/>
      <c r="U772" s="1182"/>
      <c r="V772" s="1182"/>
      <c r="W772" s="1182"/>
      <c r="X772" s="1182"/>
      <c r="Y772" s="1182"/>
    </row>
    <row r="773" spans="1:25" x14ac:dyDescent="0.2">
      <c r="A773" s="1763"/>
      <c r="B773" s="1763"/>
      <c r="C773" s="1763"/>
      <c r="D773" s="1763"/>
      <c r="E773" s="1181"/>
      <c r="R773" s="1182"/>
      <c r="S773" s="1182"/>
      <c r="T773" s="1182"/>
      <c r="U773" s="1182"/>
      <c r="V773" s="1182"/>
      <c r="W773" s="1182"/>
      <c r="X773" s="1182"/>
      <c r="Y773" s="1182"/>
    </row>
    <row r="774" spans="1:25" x14ac:dyDescent="0.2">
      <c r="A774" s="1763"/>
      <c r="B774" s="1763"/>
      <c r="C774" s="1763"/>
      <c r="D774" s="1763"/>
      <c r="E774" s="1181"/>
      <c r="R774" s="1182"/>
      <c r="S774" s="1182"/>
      <c r="T774" s="1182"/>
      <c r="U774" s="1182"/>
      <c r="V774" s="1182"/>
      <c r="W774" s="1182"/>
      <c r="X774" s="1182"/>
      <c r="Y774" s="1182"/>
    </row>
    <row r="775" spans="1:25" x14ac:dyDescent="0.2">
      <c r="A775" s="1763"/>
      <c r="B775" s="1763"/>
      <c r="C775" s="1763"/>
      <c r="D775" s="1763"/>
      <c r="E775" s="1181"/>
      <c r="R775" s="1182"/>
      <c r="S775" s="1182"/>
      <c r="T775" s="1182"/>
      <c r="U775" s="1182"/>
      <c r="V775" s="1182"/>
      <c r="W775" s="1182"/>
      <c r="X775" s="1182"/>
      <c r="Y775" s="1182"/>
    </row>
    <row r="776" spans="1:25" x14ac:dyDescent="0.2">
      <c r="A776" s="1763"/>
      <c r="B776" s="1763"/>
      <c r="C776" s="1763"/>
      <c r="D776" s="1763"/>
      <c r="E776" s="1181"/>
      <c r="R776" s="1182"/>
      <c r="S776" s="1182"/>
      <c r="T776" s="1182"/>
      <c r="U776" s="1182"/>
      <c r="V776" s="1182"/>
      <c r="W776" s="1182"/>
      <c r="X776" s="1182"/>
      <c r="Y776" s="1182"/>
    </row>
    <row r="777" spans="1:25" x14ac:dyDescent="0.2">
      <c r="A777" s="1763"/>
      <c r="B777" s="1763"/>
      <c r="C777" s="1763"/>
      <c r="D777" s="1763"/>
      <c r="E777" s="1181"/>
      <c r="R777" s="1182"/>
      <c r="S777" s="1182"/>
      <c r="T777" s="1182"/>
      <c r="U777" s="1182"/>
      <c r="V777" s="1182"/>
      <c r="W777" s="1182"/>
      <c r="X777" s="1182"/>
      <c r="Y777" s="1182"/>
    </row>
    <row r="778" spans="1:25" x14ac:dyDescent="0.2">
      <c r="A778" s="1763"/>
      <c r="B778" s="1763"/>
      <c r="C778" s="1763"/>
      <c r="D778" s="1763"/>
      <c r="E778" s="1181"/>
      <c r="R778" s="1182"/>
      <c r="S778" s="1182"/>
      <c r="T778" s="1182"/>
      <c r="U778" s="1182"/>
      <c r="V778" s="1182"/>
      <c r="W778" s="1182"/>
      <c r="X778" s="1182"/>
      <c r="Y778" s="1182"/>
    </row>
    <row r="779" spans="1:25" x14ac:dyDescent="0.2">
      <c r="A779" s="1763"/>
      <c r="B779" s="1763"/>
      <c r="C779" s="1763"/>
      <c r="D779" s="1763"/>
      <c r="E779" s="1181"/>
      <c r="R779" s="1182"/>
      <c r="S779" s="1182"/>
      <c r="T779" s="1182"/>
      <c r="U779" s="1182"/>
      <c r="V779" s="1182"/>
      <c r="W779" s="1182"/>
      <c r="X779" s="1182"/>
      <c r="Y779" s="1182"/>
    </row>
    <row r="780" spans="1:25" x14ac:dyDescent="0.2">
      <c r="A780" s="1763"/>
      <c r="B780" s="1763"/>
      <c r="C780" s="1763"/>
      <c r="D780" s="1763"/>
      <c r="E780" s="1181"/>
      <c r="R780" s="1182"/>
      <c r="S780" s="1182"/>
      <c r="T780" s="1182"/>
      <c r="U780" s="1182"/>
      <c r="V780" s="1182"/>
      <c r="W780" s="1182"/>
      <c r="X780" s="1182"/>
      <c r="Y780" s="1182"/>
    </row>
    <row r="781" spans="1:25" x14ac:dyDescent="0.2">
      <c r="A781" s="1763"/>
      <c r="B781" s="1763"/>
      <c r="C781" s="1763"/>
      <c r="D781" s="1763"/>
      <c r="E781" s="1181"/>
      <c r="R781" s="1182"/>
      <c r="S781" s="1182"/>
      <c r="T781" s="1182"/>
      <c r="U781" s="1182"/>
      <c r="V781" s="1182"/>
      <c r="W781" s="1182"/>
      <c r="X781" s="1182"/>
      <c r="Y781" s="1182"/>
    </row>
    <row r="782" spans="1:25" x14ac:dyDescent="0.2">
      <c r="A782" s="1763"/>
      <c r="B782" s="1763"/>
      <c r="C782" s="1763"/>
      <c r="D782" s="1763"/>
      <c r="E782" s="1181"/>
      <c r="R782" s="1182"/>
      <c r="S782" s="1182"/>
      <c r="T782" s="1182"/>
      <c r="U782" s="1182"/>
      <c r="V782" s="1182"/>
      <c r="W782" s="1182"/>
      <c r="X782" s="1182"/>
      <c r="Y782" s="1182"/>
    </row>
    <row r="783" spans="1:25" x14ac:dyDescent="0.2">
      <c r="A783" s="1763"/>
      <c r="B783" s="1763"/>
      <c r="C783" s="1763"/>
      <c r="D783" s="1763"/>
      <c r="E783" s="1181"/>
      <c r="R783" s="1182"/>
      <c r="S783" s="1182"/>
      <c r="T783" s="1182"/>
      <c r="U783" s="1182"/>
      <c r="V783" s="1182"/>
      <c r="W783" s="1182"/>
      <c r="X783" s="1182"/>
      <c r="Y783" s="1182"/>
    </row>
    <row r="784" spans="1:25" x14ac:dyDescent="0.2">
      <c r="A784" s="1763"/>
      <c r="B784" s="1763"/>
      <c r="C784" s="1763"/>
      <c r="D784" s="1763"/>
      <c r="E784" s="1181"/>
      <c r="R784" s="1182"/>
      <c r="S784" s="1182"/>
      <c r="T784" s="1182"/>
      <c r="U784" s="1182"/>
      <c r="V784" s="1182"/>
      <c r="W784" s="1182"/>
      <c r="X784" s="1182"/>
      <c r="Y784" s="1182"/>
    </row>
    <row r="785" spans="1:25" x14ac:dyDescent="0.2">
      <c r="A785" s="1763"/>
      <c r="B785" s="1763"/>
      <c r="C785" s="1763"/>
      <c r="D785" s="1763"/>
      <c r="E785" s="1181"/>
      <c r="R785" s="1182"/>
      <c r="S785" s="1182"/>
      <c r="T785" s="1182"/>
      <c r="U785" s="1182"/>
      <c r="V785" s="1182"/>
      <c r="W785" s="1182"/>
      <c r="X785" s="1182"/>
      <c r="Y785" s="1182"/>
    </row>
    <row r="786" spans="1:25" x14ac:dyDescent="0.2">
      <c r="A786" s="1763"/>
      <c r="B786" s="1763"/>
      <c r="C786" s="1763"/>
      <c r="D786" s="1763"/>
      <c r="E786" s="1181"/>
      <c r="R786" s="1182"/>
      <c r="S786" s="1182"/>
      <c r="T786" s="1182"/>
      <c r="U786" s="1182"/>
      <c r="V786" s="1182"/>
      <c r="W786" s="1182"/>
      <c r="X786" s="1182"/>
      <c r="Y786" s="1182"/>
    </row>
    <row r="787" spans="1:25" x14ac:dyDescent="0.2">
      <c r="A787" s="1763"/>
      <c r="B787" s="1763"/>
      <c r="C787" s="1763"/>
      <c r="D787" s="1763"/>
      <c r="E787" s="1181"/>
      <c r="R787" s="1182"/>
      <c r="S787" s="1182"/>
      <c r="T787" s="1182"/>
      <c r="U787" s="1182"/>
      <c r="V787" s="1182"/>
      <c r="W787" s="1182"/>
      <c r="X787" s="1182"/>
      <c r="Y787" s="1182"/>
    </row>
    <row r="788" spans="1:25" x14ac:dyDescent="0.2">
      <c r="A788" s="1763"/>
      <c r="B788" s="1763"/>
      <c r="C788" s="1763"/>
      <c r="D788" s="1763"/>
      <c r="E788" s="1181"/>
      <c r="R788" s="1182"/>
      <c r="S788" s="1182"/>
      <c r="T788" s="1182"/>
      <c r="U788" s="1182"/>
      <c r="V788" s="1182"/>
      <c r="W788" s="1182"/>
      <c r="X788" s="1182"/>
      <c r="Y788" s="1182"/>
    </row>
    <row r="789" spans="1:25" x14ac:dyDescent="0.2">
      <c r="A789" s="1763"/>
      <c r="B789" s="1763"/>
      <c r="C789" s="1763"/>
      <c r="D789" s="1763"/>
      <c r="E789" s="1181"/>
      <c r="R789" s="1182"/>
      <c r="S789" s="1182"/>
      <c r="T789" s="1182"/>
      <c r="U789" s="1182"/>
      <c r="V789" s="1182"/>
      <c r="W789" s="1182"/>
      <c r="X789" s="1182"/>
      <c r="Y789" s="1182"/>
    </row>
    <row r="790" spans="1:25" x14ac:dyDescent="0.2">
      <c r="A790" s="1763"/>
      <c r="B790" s="1763"/>
      <c r="C790" s="1763"/>
      <c r="D790" s="1763"/>
      <c r="E790" s="1181"/>
      <c r="R790" s="1182"/>
      <c r="S790" s="1182"/>
      <c r="T790" s="1182"/>
      <c r="U790" s="1182"/>
      <c r="V790" s="1182"/>
      <c r="W790" s="1182"/>
      <c r="X790" s="1182"/>
      <c r="Y790" s="1182"/>
    </row>
    <row r="791" spans="1:25" x14ac:dyDescent="0.2">
      <c r="A791" s="1763"/>
      <c r="B791" s="1763"/>
      <c r="C791" s="1763"/>
      <c r="D791" s="1763"/>
      <c r="E791" s="1181"/>
      <c r="R791" s="1182"/>
      <c r="S791" s="1182"/>
      <c r="T791" s="1182"/>
      <c r="U791" s="1182"/>
      <c r="V791" s="1182"/>
      <c r="W791" s="1182"/>
      <c r="X791" s="1182"/>
      <c r="Y791" s="1182"/>
    </row>
    <row r="792" spans="1:25" x14ac:dyDescent="0.2">
      <c r="A792" s="1763"/>
      <c r="B792" s="1763"/>
      <c r="C792" s="1763"/>
      <c r="D792" s="1763"/>
      <c r="E792" s="1181"/>
      <c r="R792" s="1182"/>
      <c r="S792" s="1182"/>
      <c r="T792" s="1182"/>
      <c r="U792" s="1182"/>
      <c r="V792" s="1182"/>
      <c r="W792" s="1182"/>
      <c r="X792" s="1182"/>
      <c r="Y792" s="1182"/>
    </row>
    <row r="793" spans="1:25" x14ac:dyDescent="0.2">
      <c r="A793" s="1763"/>
      <c r="B793" s="1763"/>
      <c r="C793" s="1763"/>
      <c r="D793" s="1763"/>
      <c r="E793" s="1181"/>
      <c r="R793" s="1182"/>
      <c r="S793" s="1182"/>
      <c r="T793" s="1182"/>
      <c r="U793" s="1182"/>
      <c r="V793" s="1182"/>
      <c r="W793" s="1182"/>
      <c r="X793" s="1182"/>
      <c r="Y793" s="1182"/>
    </row>
    <row r="794" spans="1:25" x14ac:dyDescent="0.2">
      <c r="A794" s="1763"/>
      <c r="B794" s="1763"/>
      <c r="C794" s="1763"/>
      <c r="D794" s="1763"/>
      <c r="E794" s="1181"/>
      <c r="R794" s="1182"/>
      <c r="S794" s="1182"/>
      <c r="T794" s="1182"/>
      <c r="U794" s="1182"/>
      <c r="V794" s="1182"/>
      <c r="W794" s="1182"/>
      <c r="X794" s="1182"/>
      <c r="Y794" s="1182"/>
    </row>
    <row r="795" spans="1:25" x14ac:dyDescent="0.2">
      <c r="A795" s="1763"/>
      <c r="B795" s="1763"/>
      <c r="C795" s="1763"/>
      <c r="D795" s="1763"/>
      <c r="E795" s="1181"/>
      <c r="R795" s="1182"/>
      <c r="S795" s="1182"/>
      <c r="T795" s="1182"/>
      <c r="U795" s="1182"/>
      <c r="V795" s="1182"/>
      <c r="W795" s="1182"/>
      <c r="X795" s="1182"/>
      <c r="Y795" s="1182"/>
    </row>
    <row r="796" spans="1:25" x14ac:dyDescent="0.2">
      <c r="A796" s="1763"/>
      <c r="B796" s="1763"/>
      <c r="C796" s="1763"/>
      <c r="D796" s="1763"/>
      <c r="E796" s="1181"/>
      <c r="R796" s="1182"/>
      <c r="S796" s="1182"/>
      <c r="T796" s="1182"/>
      <c r="U796" s="1182"/>
      <c r="V796" s="1182"/>
      <c r="W796" s="1182"/>
      <c r="X796" s="1182"/>
      <c r="Y796" s="1182"/>
    </row>
    <row r="797" spans="1:25" x14ac:dyDescent="0.2">
      <c r="A797" s="1763"/>
      <c r="B797" s="1763"/>
      <c r="C797" s="1763"/>
      <c r="D797" s="1763"/>
      <c r="E797" s="1181"/>
      <c r="R797" s="1182"/>
      <c r="S797" s="1182"/>
      <c r="T797" s="1182"/>
      <c r="U797" s="1182"/>
      <c r="V797" s="1182"/>
      <c r="W797" s="1182"/>
      <c r="X797" s="1182"/>
      <c r="Y797" s="1182"/>
    </row>
    <row r="798" spans="1:25" x14ac:dyDescent="0.2">
      <c r="A798" s="1763"/>
      <c r="B798" s="1763"/>
      <c r="C798" s="1763"/>
      <c r="D798" s="1763"/>
      <c r="E798" s="1181"/>
      <c r="R798" s="1182"/>
      <c r="S798" s="1182"/>
      <c r="T798" s="1182"/>
      <c r="U798" s="1182"/>
      <c r="V798" s="1182"/>
      <c r="W798" s="1182"/>
      <c r="X798" s="1182"/>
      <c r="Y798" s="1182"/>
    </row>
    <row r="799" spans="1:25" x14ac:dyDescent="0.2">
      <c r="A799" s="1763"/>
      <c r="B799" s="1763"/>
      <c r="C799" s="1763"/>
      <c r="D799" s="1763"/>
      <c r="E799" s="1181"/>
      <c r="R799" s="1182"/>
      <c r="S799" s="1182"/>
      <c r="T799" s="1182"/>
      <c r="U799" s="1182"/>
      <c r="V799" s="1182"/>
      <c r="W799" s="1182"/>
      <c r="X799" s="1182"/>
      <c r="Y799" s="1182"/>
    </row>
    <row r="800" spans="1:25" x14ac:dyDescent="0.2">
      <c r="A800" s="1763"/>
      <c r="B800" s="1763"/>
      <c r="C800" s="1763"/>
      <c r="D800" s="1763"/>
      <c r="E800" s="1181"/>
      <c r="R800" s="1182"/>
      <c r="S800" s="1182"/>
      <c r="T800" s="1182"/>
      <c r="U800" s="1182"/>
      <c r="V800" s="1182"/>
      <c r="W800" s="1182"/>
      <c r="X800" s="1182"/>
      <c r="Y800" s="1182"/>
    </row>
    <row r="801" spans="1:25" x14ac:dyDescent="0.2">
      <c r="A801" s="1763"/>
      <c r="B801" s="1763"/>
      <c r="C801" s="1763"/>
      <c r="D801" s="1763"/>
      <c r="E801" s="1181"/>
      <c r="R801" s="1182"/>
      <c r="S801" s="1182"/>
      <c r="T801" s="1182"/>
      <c r="U801" s="1182"/>
      <c r="V801" s="1182"/>
      <c r="W801" s="1182"/>
      <c r="X801" s="1182"/>
      <c r="Y801" s="1182"/>
    </row>
    <row r="802" spans="1:25" x14ac:dyDescent="0.2">
      <c r="A802" s="1763"/>
      <c r="B802" s="1763"/>
      <c r="C802" s="1763"/>
      <c r="D802" s="1763"/>
      <c r="E802" s="1181"/>
      <c r="R802" s="1182"/>
      <c r="S802" s="1182"/>
      <c r="T802" s="1182"/>
      <c r="U802" s="1182"/>
      <c r="V802" s="1182"/>
      <c r="W802" s="1182"/>
      <c r="X802" s="1182"/>
      <c r="Y802" s="1182"/>
    </row>
    <row r="803" spans="1:25" x14ac:dyDescent="0.2">
      <c r="A803" s="1763"/>
      <c r="B803" s="1763"/>
      <c r="C803" s="1763"/>
      <c r="D803" s="1763"/>
      <c r="E803" s="1181"/>
      <c r="R803" s="1182"/>
      <c r="S803" s="1182"/>
      <c r="T803" s="1182"/>
      <c r="U803" s="1182"/>
      <c r="V803" s="1182"/>
      <c r="W803" s="1182"/>
      <c r="X803" s="1182"/>
      <c r="Y803" s="1182"/>
    </row>
    <row r="804" spans="1:25" x14ac:dyDescent="0.2">
      <c r="A804" s="1763"/>
      <c r="B804" s="1763"/>
      <c r="C804" s="1763"/>
      <c r="D804" s="1763"/>
      <c r="E804" s="1181"/>
      <c r="R804" s="1182"/>
      <c r="S804" s="1182"/>
      <c r="T804" s="1182"/>
      <c r="U804" s="1182"/>
      <c r="V804" s="1182"/>
      <c r="W804" s="1182"/>
      <c r="X804" s="1182"/>
      <c r="Y804" s="1182"/>
    </row>
    <row r="805" spans="1:25" x14ac:dyDescent="0.2">
      <c r="A805" s="1763"/>
      <c r="B805" s="1763"/>
      <c r="C805" s="1763"/>
      <c r="D805" s="1763"/>
      <c r="E805" s="1181"/>
      <c r="R805" s="1182"/>
      <c r="S805" s="1182"/>
      <c r="T805" s="1182"/>
      <c r="U805" s="1182"/>
      <c r="V805" s="1182"/>
      <c r="W805" s="1182"/>
      <c r="X805" s="1182"/>
      <c r="Y805" s="1182"/>
    </row>
    <row r="806" spans="1:25" x14ac:dyDescent="0.2">
      <c r="A806" s="1763"/>
      <c r="B806" s="1763"/>
      <c r="C806" s="1763"/>
      <c r="D806" s="1763"/>
      <c r="E806" s="1181"/>
      <c r="R806" s="1182"/>
      <c r="S806" s="1182"/>
      <c r="T806" s="1182"/>
      <c r="U806" s="1182"/>
      <c r="V806" s="1182"/>
      <c r="W806" s="1182"/>
      <c r="X806" s="1182"/>
      <c r="Y806" s="1182"/>
    </row>
    <row r="807" spans="1:25" x14ac:dyDescent="0.2">
      <c r="A807" s="1763"/>
      <c r="B807" s="1763"/>
      <c r="C807" s="1763"/>
      <c r="D807" s="1763"/>
      <c r="E807" s="1181"/>
      <c r="R807" s="1182"/>
      <c r="S807" s="1182"/>
      <c r="T807" s="1182"/>
      <c r="U807" s="1182"/>
      <c r="V807" s="1182"/>
      <c r="W807" s="1182"/>
      <c r="X807" s="1182"/>
      <c r="Y807" s="1182"/>
    </row>
    <row r="808" spans="1:25" x14ac:dyDescent="0.2">
      <c r="A808" s="1763"/>
      <c r="B808" s="1763"/>
      <c r="C808" s="1763"/>
      <c r="D808" s="1763"/>
      <c r="E808" s="1181"/>
      <c r="R808" s="1182"/>
      <c r="S808" s="1182"/>
      <c r="T808" s="1182"/>
      <c r="U808" s="1182"/>
      <c r="V808" s="1182"/>
      <c r="W808" s="1182"/>
      <c r="X808" s="1182"/>
      <c r="Y808" s="1182"/>
    </row>
    <row r="809" spans="1:25" x14ac:dyDescent="0.2">
      <c r="A809" s="1763"/>
      <c r="B809" s="1763"/>
      <c r="C809" s="1763"/>
      <c r="D809" s="1763"/>
      <c r="E809" s="1181"/>
      <c r="R809" s="1182"/>
      <c r="S809" s="1182"/>
      <c r="T809" s="1182"/>
      <c r="U809" s="1182"/>
      <c r="V809" s="1182"/>
      <c r="W809" s="1182"/>
      <c r="X809" s="1182"/>
      <c r="Y809" s="1182"/>
    </row>
    <row r="810" spans="1:25" x14ac:dyDescent="0.2">
      <c r="A810" s="1763"/>
      <c r="B810" s="1763"/>
      <c r="C810" s="1763"/>
      <c r="D810" s="1763"/>
      <c r="E810" s="1181"/>
      <c r="R810" s="1182"/>
      <c r="S810" s="1182"/>
      <c r="T810" s="1182"/>
      <c r="U810" s="1182"/>
      <c r="V810" s="1182"/>
      <c r="W810" s="1182"/>
      <c r="X810" s="1182"/>
      <c r="Y810" s="1182"/>
    </row>
    <row r="811" spans="1:25" x14ac:dyDescent="0.2">
      <c r="A811" s="1763"/>
      <c r="B811" s="1763"/>
      <c r="C811" s="1763"/>
      <c r="D811" s="1763"/>
      <c r="E811" s="1181"/>
      <c r="R811" s="1182"/>
      <c r="S811" s="1182"/>
      <c r="T811" s="1182"/>
      <c r="U811" s="1182"/>
      <c r="V811" s="1182"/>
      <c r="W811" s="1182"/>
      <c r="X811" s="1182"/>
      <c r="Y811" s="1182"/>
    </row>
    <row r="812" spans="1:25" x14ac:dyDescent="0.2">
      <c r="A812" s="1763"/>
      <c r="B812" s="1763"/>
      <c r="C812" s="1763"/>
      <c r="D812" s="1763"/>
      <c r="E812" s="1181"/>
      <c r="R812" s="1182"/>
      <c r="S812" s="1182"/>
      <c r="T812" s="1182"/>
      <c r="U812" s="1182"/>
      <c r="V812" s="1182"/>
      <c r="W812" s="1182"/>
      <c r="X812" s="1182"/>
      <c r="Y812" s="1182"/>
    </row>
    <row r="813" spans="1:25" x14ac:dyDescent="0.2">
      <c r="A813" s="1763"/>
      <c r="B813" s="1763"/>
      <c r="C813" s="1763"/>
      <c r="D813" s="1763"/>
      <c r="E813" s="1181"/>
      <c r="R813" s="1182"/>
      <c r="S813" s="1182"/>
      <c r="T813" s="1182"/>
      <c r="U813" s="1182"/>
      <c r="V813" s="1182"/>
      <c r="W813" s="1182"/>
      <c r="X813" s="1182"/>
      <c r="Y813" s="1182"/>
    </row>
    <row r="814" spans="1:25" x14ac:dyDescent="0.2">
      <c r="A814" s="1763"/>
      <c r="B814" s="1763"/>
      <c r="C814" s="1763"/>
      <c r="D814" s="1763"/>
      <c r="E814" s="1181"/>
      <c r="R814" s="1182"/>
      <c r="S814" s="1182"/>
      <c r="T814" s="1182"/>
      <c r="U814" s="1182"/>
      <c r="V814" s="1182"/>
      <c r="W814" s="1182"/>
      <c r="X814" s="1182"/>
      <c r="Y814" s="1182"/>
    </row>
    <row r="815" spans="1:25" x14ac:dyDescent="0.2">
      <c r="A815" s="1763"/>
      <c r="B815" s="1763"/>
      <c r="C815" s="1763"/>
      <c r="D815" s="1763"/>
      <c r="E815" s="1181"/>
      <c r="R815" s="1182"/>
      <c r="S815" s="1182"/>
      <c r="T815" s="1182"/>
      <c r="U815" s="1182"/>
      <c r="V815" s="1182"/>
      <c r="W815" s="1182"/>
      <c r="X815" s="1182"/>
      <c r="Y815" s="1182"/>
    </row>
    <row r="816" spans="1:25" x14ac:dyDescent="0.2">
      <c r="A816" s="1763"/>
      <c r="B816" s="1763"/>
      <c r="C816" s="1763"/>
      <c r="D816" s="1763"/>
      <c r="E816" s="1181"/>
      <c r="R816" s="1182"/>
      <c r="S816" s="1182"/>
      <c r="T816" s="1182"/>
      <c r="U816" s="1182"/>
      <c r="V816" s="1182"/>
      <c r="W816" s="1182"/>
      <c r="X816" s="1182"/>
      <c r="Y816" s="1182"/>
    </row>
    <row r="817" spans="1:25" x14ac:dyDescent="0.2">
      <c r="A817" s="1763"/>
      <c r="B817" s="1763"/>
      <c r="C817" s="1763"/>
      <c r="D817" s="1763"/>
      <c r="E817" s="1181"/>
      <c r="R817" s="1182"/>
      <c r="S817" s="1182"/>
      <c r="T817" s="1182"/>
      <c r="U817" s="1182"/>
      <c r="V817" s="1182"/>
      <c r="W817" s="1182"/>
      <c r="X817" s="1182"/>
      <c r="Y817" s="1182"/>
    </row>
    <row r="818" spans="1:25" x14ac:dyDescent="0.2">
      <c r="A818" s="1763"/>
      <c r="B818" s="1763"/>
      <c r="C818" s="1763"/>
      <c r="D818" s="1763"/>
      <c r="E818" s="1181"/>
      <c r="R818" s="1182"/>
      <c r="S818" s="1182"/>
      <c r="T818" s="1182"/>
      <c r="U818" s="1182"/>
      <c r="V818" s="1182"/>
      <c r="W818" s="1182"/>
      <c r="X818" s="1182"/>
      <c r="Y818" s="1182"/>
    </row>
    <row r="819" spans="1:25" x14ac:dyDescent="0.2">
      <c r="A819" s="1763"/>
      <c r="B819" s="1763"/>
      <c r="C819" s="1763"/>
      <c r="D819" s="1763"/>
      <c r="E819" s="1181"/>
      <c r="R819" s="1182"/>
      <c r="S819" s="1182"/>
      <c r="T819" s="1182"/>
      <c r="U819" s="1182"/>
      <c r="V819" s="1182"/>
      <c r="W819" s="1182"/>
      <c r="X819" s="1182"/>
      <c r="Y819" s="1182"/>
    </row>
    <row r="820" spans="1:25" x14ac:dyDescent="0.2">
      <c r="A820" s="1763"/>
      <c r="B820" s="1763"/>
      <c r="C820" s="1763"/>
      <c r="D820" s="1763"/>
      <c r="E820" s="1181"/>
      <c r="R820" s="1182"/>
      <c r="S820" s="1182"/>
      <c r="T820" s="1182"/>
      <c r="U820" s="1182"/>
      <c r="V820" s="1182"/>
      <c r="W820" s="1182"/>
      <c r="X820" s="1182"/>
      <c r="Y820" s="1182"/>
    </row>
    <row r="821" spans="1:25" x14ac:dyDescent="0.2">
      <c r="A821" s="1763"/>
      <c r="B821" s="1763"/>
      <c r="C821" s="1763"/>
      <c r="D821" s="1763"/>
      <c r="E821" s="1181"/>
      <c r="R821" s="1182"/>
      <c r="S821" s="1182"/>
      <c r="T821" s="1182"/>
      <c r="U821" s="1182"/>
      <c r="V821" s="1182"/>
      <c r="W821" s="1182"/>
      <c r="X821" s="1182"/>
      <c r="Y821" s="1182"/>
    </row>
    <row r="822" spans="1:25" x14ac:dyDescent="0.2">
      <c r="A822" s="1763"/>
      <c r="B822" s="1763"/>
      <c r="C822" s="1763"/>
      <c r="D822" s="1763"/>
      <c r="E822" s="1181"/>
      <c r="R822" s="1182"/>
      <c r="S822" s="1182"/>
      <c r="T822" s="1182"/>
      <c r="U822" s="1182"/>
      <c r="V822" s="1182"/>
      <c r="W822" s="1182"/>
      <c r="X822" s="1182"/>
      <c r="Y822" s="1182"/>
    </row>
    <row r="823" spans="1:25" x14ac:dyDescent="0.2">
      <c r="A823" s="1763"/>
      <c r="B823" s="1763"/>
      <c r="C823" s="1763"/>
      <c r="D823" s="1763"/>
      <c r="E823" s="1181"/>
      <c r="R823" s="1182"/>
      <c r="S823" s="1182"/>
      <c r="T823" s="1182"/>
      <c r="U823" s="1182"/>
      <c r="V823" s="1182"/>
      <c r="W823" s="1182"/>
      <c r="X823" s="1182"/>
      <c r="Y823" s="1182"/>
    </row>
    <row r="824" spans="1:25" x14ac:dyDescent="0.2">
      <c r="A824" s="1763"/>
      <c r="B824" s="1763"/>
      <c r="C824" s="1763"/>
      <c r="D824" s="1763"/>
      <c r="E824" s="1181"/>
      <c r="R824" s="1182"/>
      <c r="S824" s="1182"/>
      <c r="T824" s="1182"/>
      <c r="U824" s="1182"/>
      <c r="V824" s="1182"/>
      <c r="W824" s="1182"/>
      <c r="X824" s="1182"/>
      <c r="Y824" s="1182"/>
    </row>
    <row r="825" spans="1:25" x14ac:dyDescent="0.2">
      <c r="A825" s="1763"/>
      <c r="B825" s="1763"/>
      <c r="C825" s="1763"/>
      <c r="D825" s="1763"/>
      <c r="E825" s="1181"/>
      <c r="R825" s="1182"/>
      <c r="S825" s="1182"/>
      <c r="T825" s="1182"/>
      <c r="U825" s="1182"/>
      <c r="V825" s="1182"/>
      <c r="W825" s="1182"/>
      <c r="X825" s="1182"/>
      <c r="Y825" s="1182"/>
    </row>
    <row r="826" spans="1:25" x14ac:dyDescent="0.2">
      <c r="A826" s="1763"/>
      <c r="B826" s="1763"/>
      <c r="C826" s="1763"/>
      <c r="D826" s="1763"/>
      <c r="E826" s="1181"/>
      <c r="R826" s="1182"/>
      <c r="S826" s="1182"/>
      <c r="T826" s="1182"/>
      <c r="U826" s="1182"/>
      <c r="V826" s="1182"/>
      <c r="W826" s="1182"/>
      <c r="X826" s="1182"/>
      <c r="Y826" s="1182"/>
    </row>
    <row r="827" spans="1:25" x14ac:dyDescent="0.2">
      <c r="A827" s="1763"/>
      <c r="B827" s="1763"/>
      <c r="C827" s="1763"/>
      <c r="D827" s="1763"/>
      <c r="E827" s="1181"/>
      <c r="R827" s="1182"/>
      <c r="S827" s="1182"/>
      <c r="T827" s="1182"/>
      <c r="U827" s="1182"/>
      <c r="V827" s="1182"/>
      <c r="W827" s="1182"/>
      <c r="X827" s="1182"/>
      <c r="Y827" s="1182"/>
    </row>
    <row r="828" spans="1:25" x14ac:dyDescent="0.2">
      <c r="A828" s="1763"/>
      <c r="B828" s="1763"/>
      <c r="C828" s="1763"/>
      <c r="D828" s="1763"/>
      <c r="E828" s="1181"/>
      <c r="R828" s="1182"/>
      <c r="S828" s="1182"/>
      <c r="T828" s="1182"/>
      <c r="U828" s="1182"/>
      <c r="V828" s="1182"/>
      <c r="W828" s="1182"/>
      <c r="X828" s="1182"/>
      <c r="Y828" s="1182"/>
    </row>
    <row r="829" spans="1:25" x14ac:dyDescent="0.2">
      <c r="A829" s="1763"/>
      <c r="B829" s="1763"/>
      <c r="C829" s="1763"/>
      <c r="D829" s="1763"/>
      <c r="E829" s="1181"/>
      <c r="R829" s="1182"/>
      <c r="S829" s="1182"/>
      <c r="T829" s="1182"/>
      <c r="U829" s="1182"/>
      <c r="V829" s="1182"/>
      <c r="W829" s="1182"/>
      <c r="X829" s="1182"/>
      <c r="Y829" s="1182"/>
    </row>
    <row r="830" spans="1:25" x14ac:dyDescent="0.2">
      <c r="A830" s="1763"/>
      <c r="B830" s="1763"/>
      <c r="C830" s="1763"/>
      <c r="D830" s="1763"/>
      <c r="E830" s="1181"/>
      <c r="R830" s="1182"/>
      <c r="S830" s="1182"/>
      <c r="T830" s="1182"/>
      <c r="U830" s="1182"/>
      <c r="V830" s="1182"/>
      <c r="W830" s="1182"/>
      <c r="X830" s="1182"/>
      <c r="Y830" s="1182"/>
    </row>
    <row r="831" spans="1:25" x14ac:dyDescent="0.2">
      <c r="A831" s="1763"/>
      <c r="B831" s="1763"/>
      <c r="C831" s="1763"/>
      <c r="D831" s="1763"/>
      <c r="E831" s="1181"/>
      <c r="R831" s="1182"/>
      <c r="S831" s="1182"/>
      <c r="T831" s="1182"/>
      <c r="U831" s="1182"/>
      <c r="V831" s="1182"/>
      <c r="W831" s="1182"/>
      <c r="X831" s="1182"/>
      <c r="Y831" s="1182"/>
    </row>
    <row r="832" spans="1:25" x14ac:dyDescent="0.2">
      <c r="A832" s="1763"/>
      <c r="B832" s="1763"/>
      <c r="C832" s="1763"/>
      <c r="D832" s="1763"/>
      <c r="E832" s="1181"/>
      <c r="R832" s="1182"/>
      <c r="S832" s="1182"/>
      <c r="T832" s="1182"/>
      <c r="U832" s="1182"/>
      <c r="V832" s="1182"/>
      <c r="W832" s="1182"/>
      <c r="X832" s="1182"/>
      <c r="Y832" s="1182"/>
    </row>
    <row r="833" spans="1:25" x14ac:dyDescent="0.2">
      <c r="A833" s="1763"/>
      <c r="B833" s="1763"/>
      <c r="C833" s="1763"/>
      <c r="D833" s="1763"/>
      <c r="E833" s="1181"/>
      <c r="R833" s="1182"/>
      <c r="S833" s="1182"/>
      <c r="T833" s="1182"/>
      <c r="U833" s="1182"/>
      <c r="V833" s="1182"/>
      <c r="W833" s="1182"/>
      <c r="X833" s="1182"/>
      <c r="Y833" s="1182"/>
    </row>
    <row r="834" spans="1:25" x14ac:dyDescent="0.2">
      <c r="A834" s="1763"/>
      <c r="B834" s="1763"/>
      <c r="C834" s="1763"/>
      <c r="D834" s="1763"/>
      <c r="E834" s="1181"/>
      <c r="R834" s="1182"/>
      <c r="S834" s="1182"/>
      <c r="T834" s="1182"/>
      <c r="U834" s="1182"/>
      <c r="V834" s="1182"/>
      <c r="W834" s="1182"/>
      <c r="X834" s="1182"/>
      <c r="Y834" s="1182"/>
    </row>
    <row r="835" spans="1:25" x14ac:dyDescent="0.2">
      <c r="A835" s="1763"/>
      <c r="B835" s="1763"/>
      <c r="C835" s="1763"/>
      <c r="D835" s="1763"/>
      <c r="E835" s="1181"/>
      <c r="R835" s="1182"/>
      <c r="S835" s="1182"/>
      <c r="T835" s="1182"/>
      <c r="U835" s="1182"/>
      <c r="V835" s="1182"/>
      <c r="W835" s="1182"/>
      <c r="X835" s="1182"/>
      <c r="Y835" s="1182"/>
    </row>
    <row r="836" spans="1:25" x14ac:dyDescent="0.2">
      <c r="A836" s="1763"/>
      <c r="B836" s="1763"/>
      <c r="C836" s="1763"/>
      <c r="D836" s="1763"/>
      <c r="E836" s="1181"/>
      <c r="R836" s="1182"/>
      <c r="S836" s="1182"/>
      <c r="T836" s="1182"/>
      <c r="U836" s="1182"/>
      <c r="V836" s="1182"/>
      <c r="W836" s="1182"/>
      <c r="X836" s="1182"/>
      <c r="Y836" s="1182"/>
    </row>
    <row r="837" spans="1:25" x14ac:dyDescent="0.2">
      <c r="A837" s="1763"/>
      <c r="B837" s="1763"/>
      <c r="C837" s="1763"/>
      <c r="D837" s="1763"/>
      <c r="E837" s="1181"/>
      <c r="R837" s="1182"/>
      <c r="S837" s="1182"/>
      <c r="T837" s="1182"/>
      <c r="U837" s="1182"/>
      <c r="V837" s="1182"/>
      <c r="W837" s="1182"/>
      <c r="X837" s="1182"/>
      <c r="Y837" s="1182"/>
    </row>
    <row r="838" spans="1:25" x14ac:dyDescent="0.2">
      <c r="A838" s="1763"/>
      <c r="B838" s="1763"/>
      <c r="C838" s="1763"/>
      <c r="D838" s="1763"/>
      <c r="E838" s="1181"/>
      <c r="R838" s="1182"/>
      <c r="S838" s="1182"/>
      <c r="T838" s="1182"/>
      <c r="U838" s="1182"/>
      <c r="V838" s="1182"/>
      <c r="W838" s="1182"/>
      <c r="X838" s="1182"/>
      <c r="Y838" s="1182"/>
    </row>
    <row r="839" spans="1:25" x14ac:dyDescent="0.2">
      <c r="A839" s="1763"/>
      <c r="B839" s="1763"/>
      <c r="C839" s="1763"/>
      <c r="D839" s="1763"/>
      <c r="E839" s="1181"/>
      <c r="R839" s="1182"/>
      <c r="S839" s="1182"/>
      <c r="T839" s="1182"/>
      <c r="U839" s="1182"/>
      <c r="V839" s="1182"/>
      <c r="W839" s="1182"/>
      <c r="X839" s="1182"/>
      <c r="Y839" s="1182"/>
    </row>
    <row r="840" spans="1:25" x14ac:dyDescent="0.2">
      <c r="A840" s="1763"/>
      <c r="B840" s="1763"/>
      <c r="C840" s="1763"/>
      <c r="D840" s="1763"/>
      <c r="E840" s="1181"/>
      <c r="R840" s="1182"/>
      <c r="S840" s="1182"/>
      <c r="T840" s="1182"/>
      <c r="U840" s="1182"/>
      <c r="V840" s="1182"/>
      <c r="W840" s="1182"/>
      <c r="X840" s="1182"/>
      <c r="Y840" s="1182"/>
    </row>
    <row r="841" spans="1:25" x14ac:dyDescent="0.2">
      <c r="A841" s="1763"/>
      <c r="B841" s="1763"/>
      <c r="C841" s="1763"/>
      <c r="D841" s="1763"/>
      <c r="E841" s="1181"/>
      <c r="R841" s="1182"/>
      <c r="S841" s="1182"/>
      <c r="T841" s="1182"/>
      <c r="U841" s="1182"/>
      <c r="V841" s="1182"/>
      <c r="W841" s="1182"/>
      <c r="X841" s="1182"/>
      <c r="Y841" s="1182"/>
    </row>
    <row r="842" spans="1:25" x14ac:dyDescent="0.2">
      <c r="A842" s="1763"/>
      <c r="B842" s="1763"/>
      <c r="C842" s="1763"/>
      <c r="D842" s="1763"/>
      <c r="E842" s="1181"/>
      <c r="R842" s="1182"/>
      <c r="S842" s="1182"/>
      <c r="T842" s="1182"/>
      <c r="U842" s="1182"/>
      <c r="V842" s="1182"/>
      <c r="W842" s="1182"/>
      <c r="X842" s="1182"/>
      <c r="Y842" s="1182"/>
    </row>
    <row r="843" spans="1:25" x14ac:dyDescent="0.2">
      <c r="A843" s="1763"/>
      <c r="B843" s="1763"/>
      <c r="C843" s="1763"/>
      <c r="D843" s="1763"/>
      <c r="E843" s="1181"/>
      <c r="R843" s="1182"/>
      <c r="S843" s="1182"/>
      <c r="T843" s="1182"/>
      <c r="U843" s="1182"/>
      <c r="V843" s="1182"/>
      <c r="W843" s="1182"/>
      <c r="X843" s="1182"/>
      <c r="Y843" s="1182"/>
    </row>
    <row r="844" spans="1:25" x14ac:dyDescent="0.2">
      <c r="A844" s="1763"/>
      <c r="B844" s="1763"/>
      <c r="C844" s="1763"/>
      <c r="D844" s="1763"/>
      <c r="E844" s="1181"/>
      <c r="R844" s="1182"/>
      <c r="S844" s="1182"/>
      <c r="T844" s="1182"/>
      <c r="U844" s="1182"/>
      <c r="V844" s="1182"/>
      <c r="W844" s="1182"/>
      <c r="X844" s="1182"/>
      <c r="Y844" s="1182"/>
    </row>
    <row r="845" spans="1:25" x14ac:dyDescent="0.2">
      <c r="A845" s="1763"/>
      <c r="B845" s="1763"/>
      <c r="C845" s="1763"/>
      <c r="D845" s="1763"/>
      <c r="E845" s="1181"/>
      <c r="R845" s="1182"/>
      <c r="S845" s="1182"/>
      <c r="T845" s="1182"/>
      <c r="U845" s="1182"/>
      <c r="V845" s="1182"/>
      <c r="W845" s="1182"/>
      <c r="X845" s="1182"/>
      <c r="Y845" s="1182"/>
    </row>
    <row r="846" spans="1:25" x14ac:dyDescent="0.2">
      <c r="A846" s="1763"/>
      <c r="B846" s="1763"/>
      <c r="C846" s="1763"/>
      <c r="D846" s="1763"/>
      <c r="E846" s="1181"/>
      <c r="R846" s="1182"/>
      <c r="S846" s="1182"/>
      <c r="T846" s="1182"/>
      <c r="U846" s="1182"/>
      <c r="V846" s="1182"/>
      <c r="W846" s="1182"/>
      <c r="X846" s="1182"/>
      <c r="Y846" s="1182"/>
    </row>
    <row r="847" spans="1:25" x14ac:dyDescent="0.2">
      <c r="A847" s="1763"/>
      <c r="B847" s="1763"/>
      <c r="C847" s="1763"/>
      <c r="D847" s="1763"/>
      <c r="E847" s="1181"/>
      <c r="R847" s="1182"/>
      <c r="S847" s="1182"/>
      <c r="T847" s="1182"/>
      <c r="U847" s="1182"/>
      <c r="V847" s="1182"/>
      <c r="W847" s="1182"/>
      <c r="X847" s="1182"/>
      <c r="Y847" s="1182"/>
    </row>
    <row r="848" spans="1:25" x14ac:dyDescent="0.2">
      <c r="A848" s="1763"/>
      <c r="B848" s="1763"/>
      <c r="C848" s="1763"/>
      <c r="D848" s="1763"/>
      <c r="E848" s="1181"/>
      <c r="R848" s="1182"/>
      <c r="S848" s="1182"/>
      <c r="T848" s="1182"/>
      <c r="U848" s="1182"/>
      <c r="V848" s="1182"/>
      <c r="W848" s="1182"/>
      <c r="X848" s="1182"/>
      <c r="Y848" s="1182"/>
    </row>
    <row r="849" spans="1:25" x14ac:dyDescent="0.2">
      <c r="A849" s="1763"/>
      <c r="B849" s="1763"/>
      <c r="C849" s="1763"/>
      <c r="D849" s="1763"/>
      <c r="E849" s="1181"/>
      <c r="R849" s="1182"/>
      <c r="S849" s="1182"/>
      <c r="T849" s="1182"/>
      <c r="U849" s="1182"/>
      <c r="V849" s="1182"/>
      <c r="W849" s="1182"/>
      <c r="X849" s="1182"/>
      <c r="Y849" s="1182"/>
    </row>
    <row r="850" spans="1:25" x14ac:dyDescent="0.2">
      <c r="A850" s="1763"/>
      <c r="B850" s="1763"/>
      <c r="C850" s="1763"/>
      <c r="D850" s="1763"/>
      <c r="E850" s="1181"/>
      <c r="R850" s="1182"/>
      <c r="S850" s="1182"/>
      <c r="T850" s="1182"/>
      <c r="U850" s="1182"/>
      <c r="V850" s="1182"/>
      <c r="W850" s="1182"/>
      <c r="X850" s="1182"/>
      <c r="Y850" s="1182"/>
    </row>
    <row r="851" spans="1:25" x14ac:dyDescent="0.2">
      <c r="A851" s="1763"/>
      <c r="B851" s="1763"/>
      <c r="C851" s="1763"/>
      <c r="D851" s="1763"/>
      <c r="E851" s="1181"/>
      <c r="R851" s="1182"/>
      <c r="S851" s="1182"/>
      <c r="T851" s="1182"/>
      <c r="U851" s="1182"/>
      <c r="V851" s="1182"/>
      <c r="W851" s="1182"/>
      <c r="X851" s="1182"/>
      <c r="Y851" s="1182"/>
    </row>
    <row r="852" spans="1:25" x14ac:dyDescent="0.2">
      <c r="A852" s="1763"/>
      <c r="B852" s="1763"/>
      <c r="C852" s="1763"/>
      <c r="D852" s="1763"/>
      <c r="E852" s="1181"/>
      <c r="R852" s="1182"/>
      <c r="S852" s="1182"/>
      <c r="T852" s="1182"/>
      <c r="U852" s="1182"/>
      <c r="V852" s="1182"/>
      <c r="W852" s="1182"/>
      <c r="X852" s="1182"/>
      <c r="Y852" s="1182"/>
    </row>
    <row r="853" spans="1:25" x14ac:dyDescent="0.2">
      <c r="A853" s="1763"/>
      <c r="B853" s="1763"/>
      <c r="C853" s="1763"/>
      <c r="D853" s="1763"/>
      <c r="E853" s="1181"/>
      <c r="R853" s="1182"/>
      <c r="S853" s="1182"/>
      <c r="T853" s="1182"/>
      <c r="U853" s="1182"/>
      <c r="V853" s="1182"/>
      <c r="W853" s="1182"/>
      <c r="X853" s="1182"/>
      <c r="Y853" s="1182"/>
    </row>
    <row r="854" spans="1:25" x14ac:dyDescent="0.2">
      <c r="A854" s="1763"/>
      <c r="B854" s="1763"/>
      <c r="C854" s="1763"/>
      <c r="D854" s="1763"/>
      <c r="E854" s="1181"/>
      <c r="R854" s="1182"/>
      <c r="S854" s="1182"/>
      <c r="T854" s="1182"/>
      <c r="U854" s="1182"/>
      <c r="V854" s="1182"/>
      <c r="W854" s="1182"/>
      <c r="X854" s="1182"/>
      <c r="Y854" s="1182"/>
    </row>
    <row r="855" spans="1:25" x14ac:dyDescent="0.2">
      <c r="A855" s="1763"/>
      <c r="B855" s="1763"/>
      <c r="C855" s="1763"/>
      <c r="D855" s="1763"/>
      <c r="E855" s="1181"/>
      <c r="R855" s="1182"/>
      <c r="S855" s="1182"/>
      <c r="T855" s="1182"/>
      <c r="U855" s="1182"/>
      <c r="V855" s="1182"/>
      <c r="W855" s="1182"/>
      <c r="X855" s="1182"/>
      <c r="Y855" s="1182"/>
    </row>
    <row r="856" spans="1:25" x14ac:dyDescent="0.2">
      <c r="A856" s="1763"/>
      <c r="B856" s="1763"/>
      <c r="C856" s="1763"/>
      <c r="D856" s="1763"/>
      <c r="E856" s="1181"/>
      <c r="R856" s="1182"/>
      <c r="S856" s="1182"/>
      <c r="T856" s="1182"/>
      <c r="U856" s="1182"/>
      <c r="V856" s="1182"/>
      <c r="W856" s="1182"/>
      <c r="X856" s="1182"/>
      <c r="Y856" s="1182"/>
    </row>
    <row r="857" spans="1:25" x14ac:dyDescent="0.2">
      <c r="A857" s="1763"/>
      <c r="B857" s="1763"/>
      <c r="C857" s="1763"/>
      <c r="D857" s="1763"/>
      <c r="E857" s="1181"/>
      <c r="R857" s="1182"/>
      <c r="S857" s="1182"/>
      <c r="T857" s="1182"/>
      <c r="U857" s="1182"/>
      <c r="V857" s="1182"/>
      <c r="W857" s="1182"/>
      <c r="X857" s="1182"/>
      <c r="Y857" s="1182"/>
    </row>
    <row r="858" spans="1:25" x14ac:dyDescent="0.2">
      <c r="A858" s="1763"/>
      <c r="B858" s="1763"/>
      <c r="C858" s="1763"/>
      <c r="D858" s="1763"/>
      <c r="E858" s="1181"/>
      <c r="R858" s="1182"/>
      <c r="S858" s="1182"/>
      <c r="T858" s="1182"/>
      <c r="U858" s="1182"/>
      <c r="V858" s="1182"/>
      <c r="W858" s="1182"/>
      <c r="X858" s="1182"/>
      <c r="Y858" s="1182"/>
    </row>
    <row r="859" spans="1:25" x14ac:dyDescent="0.2">
      <c r="A859" s="1763"/>
      <c r="B859" s="1763"/>
      <c r="C859" s="1763"/>
      <c r="D859" s="1763"/>
      <c r="E859" s="1181"/>
      <c r="R859" s="1182"/>
      <c r="S859" s="1182"/>
      <c r="T859" s="1182"/>
      <c r="U859" s="1182"/>
      <c r="V859" s="1182"/>
      <c r="W859" s="1182"/>
      <c r="X859" s="1182"/>
      <c r="Y859" s="1182"/>
    </row>
    <row r="860" spans="1:25" x14ac:dyDescent="0.2">
      <c r="A860" s="1763"/>
      <c r="B860" s="1763"/>
      <c r="C860" s="1763"/>
      <c r="D860" s="1763"/>
      <c r="E860" s="1181"/>
      <c r="R860" s="1182"/>
      <c r="S860" s="1182"/>
      <c r="T860" s="1182"/>
      <c r="U860" s="1182"/>
      <c r="V860" s="1182"/>
      <c r="W860" s="1182"/>
      <c r="X860" s="1182"/>
      <c r="Y860" s="1182"/>
    </row>
    <row r="861" spans="1:25" x14ac:dyDescent="0.2">
      <c r="A861" s="1763"/>
      <c r="B861" s="1763"/>
      <c r="C861" s="1763"/>
      <c r="D861" s="1763"/>
      <c r="E861" s="1181"/>
      <c r="R861" s="1182"/>
      <c r="S861" s="1182"/>
      <c r="T861" s="1182"/>
      <c r="U861" s="1182"/>
      <c r="V861" s="1182"/>
      <c r="W861" s="1182"/>
      <c r="X861" s="1182"/>
      <c r="Y861" s="1182"/>
    </row>
    <row r="862" spans="1:25" x14ac:dyDescent="0.2">
      <c r="A862" s="1763"/>
      <c r="B862" s="1763"/>
      <c r="C862" s="1763"/>
      <c r="D862" s="1763"/>
      <c r="E862" s="1181"/>
      <c r="R862" s="1182"/>
      <c r="S862" s="1182"/>
      <c r="T862" s="1182"/>
      <c r="U862" s="1182"/>
      <c r="V862" s="1182"/>
      <c r="W862" s="1182"/>
      <c r="X862" s="1182"/>
      <c r="Y862" s="1182"/>
    </row>
    <row r="863" spans="1:25" x14ac:dyDescent="0.2">
      <c r="A863" s="1763"/>
      <c r="B863" s="1763"/>
      <c r="C863" s="1763"/>
      <c r="D863" s="1763"/>
      <c r="E863" s="1181"/>
      <c r="R863" s="1182"/>
      <c r="S863" s="1182"/>
      <c r="T863" s="1182"/>
      <c r="U863" s="1182"/>
      <c r="V863" s="1182"/>
      <c r="W863" s="1182"/>
      <c r="X863" s="1182"/>
      <c r="Y863" s="1182"/>
    </row>
    <row r="864" spans="1:25" x14ac:dyDescent="0.2">
      <c r="A864" s="1763"/>
      <c r="B864" s="1763"/>
      <c r="C864" s="1763"/>
      <c r="D864" s="1763"/>
      <c r="E864" s="1181"/>
      <c r="R864" s="1182"/>
      <c r="S864" s="1182"/>
      <c r="T864" s="1182"/>
      <c r="U864" s="1182"/>
      <c r="V864" s="1182"/>
      <c r="W864" s="1182"/>
      <c r="X864" s="1182"/>
      <c r="Y864" s="1182"/>
    </row>
    <row r="865" spans="1:25" x14ac:dyDescent="0.2">
      <c r="A865" s="1763"/>
      <c r="B865" s="1763"/>
      <c r="C865" s="1763"/>
      <c r="D865" s="1763"/>
      <c r="E865" s="1181"/>
      <c r="R865" s="1182"/>
      <c r="S865" s="1182"/>
      <c r="T865" s="1182"/>
      <c r="U865" s="1182"/>
      <c r="V865" s="1182"/>
      <c r="W865" s="1182"/>
      <c r="X865" s="1182"/>
      <c r="Y865" s="1182"/>
    </row>
    <row r="866" spans="1:25" x14ac:dyDescent="0.2">
      <c r="A866" s="1763"/>
      <c r="B866" s="1763"/>
      <c r="C866" s="1763"/>
      <c r="D866" s="1763"/>
      <c r="E866" s="1181"/>
      <c r="R866" s="1182"/>
      <c r="S866" s="1182"/>
      <c r="T866" s="1182"/>
      <c r="U866" s="1182"/>
      <c r="V866" s="1182"/>
      <c r="W866" s="1182"/>
      <c r="X866" s="1182"/>
      <c r="Y866" s="1182"/>
    </row>
    <row r="867" spans="1:25" x14ac:dyDescent="0.2">
      <c r="A867" s="1763"/>
      <c r="B867" s="1763"/>
      <c r="C867" s="1763"/>
      <c r="D867" s="1763"/>
      <c r="E867" s="1181"/>
      <c r="R867" s="1182"/>
      <c r="S867" s="1182"/>
      <c r="T867" s="1182"/>
      <c r="U867" s="1182"/>
      <c r="V867" s="1182"/>
      <c r="W867" s="1182"/>
      <c r="X867" s="1182"/>
      <c r="Y867" s="1182"/>
    </row>
    <row r="868" spans="1:25" x14ac:dyDescent="0.2">
      <c r="A868" s="1763"/>
      <c r="B868" s="1763"/>
      <c r="C868" s="1763"/>
      <c r="D868" s="1763"/>
      <c r="E868" s="1181"/>
      <c r="R868" s="1182"/>
      <c r="S868" s="1182"/>
      <c r="T868" s="1182"/>
      <c r="U868" s="1182"/>
      <c r="V868" s="1182"/>
      <c r="W868" s="1182"/>
      <c r="X868" s="1182"/>
      <c r="Y868" s="1182"/>
    </row>
    <row r="869" spans="1:25" x14ac:dyDescent="0.2">
      <c r="A869" s="1763"/>
      <c r="B869" s="1763"/>
      <c r="C869" s="1763"/>
      <c r="D869" s="1763"/>
      <c r="E869" s="1181"/>
      <c r="R869" s="1182"/>
      <c r="S869" s="1182"/>
      <c r="T869" s="1182"/>
      <c r="U869" s="1182"/>
      <c r="V869" s="1182"/>
      <c r="W869" s="1182"/>
      <c r="X869" s="1182"/>
      <c r="Y869" s="1182"/>
    </row>
    <row r="870" spans="1:25" x14ac:dyDescent="0.2">
      <c r="A870" s="1763"/>
      <c r="B870" s="1763"/>
      <c r="C870" s="1763"/>
      <c r="D870" s="1763"/>
      <c r="E870" s="1181"/>
      <c r="R870" s="1182"/>
      <c r="S870" s="1182"/>
      <c r="T870" s="1182"/>
      <c r="U870" s="1182"/>
      <c r="V870" s="1182"/>
      <c r="W870" s="1182"/>
      <c r="X870" s="1182"/>
      <c r="Y870" s="1182"/>
    </row>
    <row r="871" spans="1:25" x14ac:dyDescent="0.2">
      <c r="A871" s="1763"/>
      <c r="B871" s="1763"/>
      <c r="C871" s="1763"/>
      <c r="D871" s="1763"/>
      <c r="E871" s="1181"/>
      <c r="R871" s="1182"/>
      <c r="S871" s="1182"/>
      <c r="T871" s="1182"/>
      <c r="U871" s="1182"/>
      <c r="V871" s="1182"/>
      <c r="W871" s="1182"/>
      <c r="X871" s="1182"/>
      <c r="Y871" s="1182"/>
    </row>
    <row r="872" spans="1:25" x14ac:dyDescent="0.2">
      <c r="A872" s="1763"/>
      <c r="B872" s="1763"/>
      <c r="C872" s="1763"/>
      <c r="D872" s="1763"/>
      <c r="E872" s="1181"/>
      <c r="R872" s="1182"/>
      <c r="S872" s="1182"/>
      <c r="T872" s="1182"/>
      <c r="U872" s="1182"/>
      <c r="V872" s="1182"/>
      <c r="W872" s="1182"/>
      <c r="X872" s="1182"/>
      <c r="Y872" s="1182"/>
    </row>
    <row r="873" spans="1:25" x14ac:dyDescent="0.2">
      <c r="A873" s="1763"/>
      <c r="B873" s="1763"/>
      <c r="C873" s="1763"/>
      <c r="D873" s="1763"/>
      <c r="E873" s="1181"/>
      <c r="R873" s="1182"/>
      <c r="S873" s="1182"/>
      <c r="T873" s="1182"/>
      <c r="U873" s="1182"/>
      <c r="V873" s="1182"/>
      <c r="W873" s="1182"/>
      <c r="X873" s="1182"/>
      <c r="Y873" s="1182"/>
    </row>
    <row r="874" spans="1:25" x14ac:dyDescent="0.2">
      <c r="A874" s="1763"/>
      <c r="B874" s="1763"/>
      <c r="C874" s="1763"/>
      <c r="D874" s="1763"/>
      <c r="E874" s="1181"/>
      <c r="R874" s="1182"/>
      <c r="S874" s="1182"/>
      <c r="T874" s="1182"/>
      <c r="U874" s="1182"/>
      <c r="V874" s="1182"/>
      <c r="W874" s="1182"/>
      <c r="X874" s="1182"/>
      <c r="Y874" s="1182"/>
    </row>
    <row r="875" spans="1:25" x14ac:dyDescent="0.2">
      <c r="A875" s="1763"/>
      <c r="B875" s="1763"/>
      <c r="C875" s="1763"/>
      <c r="D875" s="1763"/>
      <c r="E875" s="1181"/>
      <c r="R875" s="1182"/>
      <c r="S875" s="1182"/>
      <c r="T875" s="1182"/>
      <c r="U875" s="1182"/>
      <c r="V875" s="1182"/>
      <c r="W875" s="1182"/>
      <c r="X875" s="1182"/>
      <c r="Y875" s="1182"/>
    </row>
    <row r="876" spans="1:25" x14ac:dyDescent="0.2">
      <c r="A876" s="1763"/>
      <c r="B876" s="1763"/>
      <c r="C876" s="1763"/>
      <c r="D876" s="1763"/>
      <c r="E876" s="1181"/>
      <c r="R876" s="1182"/>
      <c r="S876" s="1182"/>
      <c r="T876" s="1182"/>
      <c r="U876" s="1182"/>
      <c r="V876" s="1182"/>
      <c r="W876" s="1182"/>
      <c r="X876" s="1182"/>
      <c r="Y876" s="1182"/>
    </row>
    <row r="877" spans="1:25" x14ac:dyDescent="0.2">
      <c r="A877" s="1763"/>
      <c r="B877" s="1763"/>
      <c r="C877" s="1763"/>
      <c r="D877" s="1763"/>
      <c r="E877" s="1181"/>
      <c r="R877" s="1182"/>
      <c r="S877" s="1182"/>
      <c r="T877" s="1182"/>
      <c r="U877" s="1182"/>
      <c r="V877" s="1182"/>
      <c r="W877" s="1182"/>
      <c r="X877" s="1182"/>
      <c r="Y877" s="1182"/>
    </row>
    <row r="878" spans="1:25" x14ac:dyDescent="0.2">
      <c r="A878" s="1763"/>
      <c r="B878" s="1763"/>
      <c r="C878" s="1763"/>
      <c r="D878" s="1763"/>
      <c r="E878" s="1181"/>
      <c r="R878" s="1182"/>
      <c r="S878" s="1182"/>
      <c r="T878" s="1182"/>
      <c r="U878" s="1182"/>
      <c r="V878" s="1182"/>
      <c r="W878" s="1182"/>
      <c r="X878" s="1182"/>
      <c r="Y878" s="1182"/>
    </row>
    <row r="879" spans="1:25" x14ac:dyDescent="0.2">
      <c r="A879" s="1763"/>
      <c r="B879" s="1763"/>
      <c r="C879" s="1763"/>
      <c r="D879" s="1763"/>
      <c r="E879" s="1181"/>
      <c r="R879" s="1182"/>
      <c r="S879" s="1182"/>
      <c r="T879" s="1182"/>
      <c r="U879" s="1182"/>
      <c r="V879" s="1182"/>
      <c r="W879" s="1182"/>
      <c r="X879" s="1182"/>
      <c r="Y879" s="1182"/>
    </row>
    <row r="880" spans="1:25" x14ac:dyDescent="0.2">
      <c r="A880" s="1763"/>
      <c r="B880" s="1763"/>
      <c r="C880" s="1763"/>
      <c r="D880" s="1763"/>
      <c r="E880" s="1181"/>
      <c r="R880" s="1182"/>
      <c r="S880" s="1182"/>
      <c r="T880" s="1182"/>
      <c r="U880" s="1182"/>
      <c r="V880" s="1182"/>
      <c r="W880" s="1182"/>
      <c r="X880" s="1182"/>
      <c r="Y880" s="1182"/>
    </row>
    <row r="881" spans="1:25" x14ac:dyDescent="0.2">
      <c r="A881" s="1763"/>
      <c r="B881" s="1763"/>
      <c r="C881" s="1763"/>
      <c r="D881" s="1763"/>
      <c r="E881" s="1181"/>
      <c r="R881" s="1182"/>
      <c r="S881" s="1182"/>
      <c r="T881" s="1182"/>
      <c r="U881" s="1182"/>
      <c r="V881" s="1182"/>
      <c r="W881" s="1182"/>
      <c r="X881" s="1182"/>
      <c r="Y881" s="1182"/>
    </row>
    <row r="882" spans="1:25" x14ac:dyDescent="0.2">
      <c r="A882" s="1763"/>
      <c r="B882" s="1763"/>
      <c r="C882" s="1763"/>
      <c r="D882" s="1763"/>
      <c r="E882" s="1181"/>
      <c r="R882" s="1182"/>
      <c r="S882" s="1182"/>
      <c r="T882" s="1182"/>
      <c r="U882" s="1182"/>
      <c r="V882" s="1182"/>
      <c r="W882" s="1182"/>
      <c r="X882" s="1182"/>
      <c r="Y882" s="1182"/>
    </row>
    <row r="883" spans="1:25" x14ac:dyDescent="0.2">
      <c r="A883" s="1763"/>
      <c r="B883" s="1763"/>
      <c r="C883" s="1763"/>
      <c r="D883" s="1763"/>
      <c r="E883" s="1181"/>
      <c r="R883" s="1182"/>
      <c r="S883" s="1182"/>
      <c r="T883" s="1182"/>
      <c r="U883" s="1182"/>
      <c r="V883" s="1182"/>
      <c r="W883" s="1182"/>
      <c r="X883" s="1182"/>
      <c r="Y883" s="1182"/>
    </row>
    <row r="884" spans="1:25" x14ac:dyDescent="0.2">
      <c r="A884" s="1763"/>
      <c r="B884" s="1763"/>
      <c r="C884" s="1763"/>
      <c r="D884" s="1763"/>
      <c r="E884" s="1181"/>
      <c r="R884" s="1182"/>
      <c r="S884" s="1182"/>
      <c r="T884" s="1182"/>
      <c r="U884" s="1182"/>
      <c r="V884" s="1182"/>
      <c r="W884" s="1182"/>
      <c r="X884" s="1182"/>
      <c r="Y884" s="1182"/>
    </row>
    <row r="885" spans="1:25" x14ac:dyDescent="0.2">
      <c r="A885" s="1763"/>
      <c r="B885" s="1763"/>
      <c r="C885" s="1763"/>
      <c r="D885" s="1763"/>
      <c r="E885" s="1181"/>
      <c r="R885" s="1182"/>
      <c r="S885" s="1182"/>
      <c r="T885" s="1182"/>
      <c r="U885" s="1182"/>
      <c r="V885" s="1182"/>
      <c r="W885" s="1182"/>
      <c r="X885" s="1182"/>
      <c r="Y885" s="1182"/>
    </row>
    <row r="886" spans="1:25" x14ac:dyDescent="0.2">
      <c r="A886" s="1763"/>
      <c r="B886" s="1763"/>
      <c r="C886" s="1763"/>
      <c r="D886" s="1763"/>
      <c r="E886" s="1181"/>
      <c r="R886" s="1182"/>
      <c r="S886" s="1182"/>
      <c r="T886" s="1182"/>
      <c r="U886" s="1182"/>
      <c r="V886" s="1182"/>
      <c r="W886" s="1182"/>
      <c r="X886" s="1182"/>
      <c r="Y886" s="1182"/>
    </row>
    <row r="887" spans="1:25" x14ac:dyDescent="0.2">
      <c r="A887" s="1763"/>
      <c r="B887" s="1763"/>
      <c r="C887" s="1763"/>
      <c r="D887" s="1763"/>
      <c r="E887" s="1181"/>
      <c r="R887" s="1182"/>
      <c r="S887" s="1182"/>
      <c r="T887" s="1182"/>
      <c r="U887" s="1182"/>
      <c r="V887" s="1182"/>
      <c r="W887" s="1182"/>
      <c r="X887" s="1182"/>
      <c r="Y887" s="1182"/>
    </row>
    <row r="888" spans="1:25" x14ac:dyDescent="0.2">
      <c r="A888" s="1763"/>
      <c r="B888" s="1763"/>
      <c r="C888" s="1763"/>
      <c r="D888" s="1763"/>
      <c r="E888" s="1181"/>
      <c r="R888" s="1182"/>
      <c r="S888" s="1182"/>
      <c r="T888" s="1182"/>
      <c r="U888" s="1182"/>
      <c r="V888" s="1182"/>
      <c r="W888" s="1182"/>
      <c r="X888" s="1182"/>
      <c r="Y888" s="1182"/>
    </row>
    <row r="889" spans="1:25" x14ac:dyDescent="0.2">
      <c r="A889" s="1763"/>
      <c r="B889" s="1763"/>
      <c r="C889" s="1763"/>
      <c r="D889" s="1763"/>
      <c r="E889" s="1181"/>
      <c r="R889" s="1182"/>
      <c r="S889" s="1182"/>
      <c r="T889" s="1182"/>
      <c r="U889" s="1182"/>
      <c r="V889" s="1182"/>
      <c r="W889" s="1182"/>
      <c r="X889" s="1182"/>
      <c r="Y889" s="1182"/>
    </row>
    <row r="890" spans="1:25" x14ac:dyDescent="0.2">
      <c r="A890" s="1763"/>
      <c r="B890" s="1763"/>
      <c r="C890" s="1763"/>
      <c r="D890" s="1763"/>
      <c r="E890" s="1181"/>
      <c r="R890" s="1182"/>
      <c r="S890" s="1182"/>
      <c r="T890" s="1182"/>
      <c r="U890" s="1182"/>
      <c r="V890" s="1182"/>
      <c r="W890" s="1182"/>
      <c r="X890" s="1182"/>
      <c r="Y890" s="1182"/>
    </row>
    <row r="891" spans="1:25" x14ac:dyDescent="0.2">
      <c r="A891" s="1763"/>
      <c r="B891" s="1763"/>
      <c r="C891" s="1763"/>
      <c r="D891" s="1763"/>
      <c r="E891" s="1181"/>
      <c r="R891" s="1182"/>
      <c r="S891" s="1182"/>
      <c r="T891" s="1182"/>
      <c r="U891" s="1182"/>
      <c r="V891" s="1182"/>
      <c r="W891" s="1182"/>
      <c r="X891" s="1182"/>
      <c r="Y891" s="1182"/>
    </row>
    <row r="892" spans="1:25" x14ac:dyDescent="0.2">
      <c r="A892" s="1763"/>
      <c r="B892" s="1763"/>
      <c r="C892" s="1763"/>
      <c r="D892" s="1763"/>
      <c r="E892" s="1181"/>
      <c r="R892" s="1182"/>
      <c r="S892" s="1182"/>
      <c r="T892" s="1182"/>
      <c r="U892" s="1182"/>
      <c r="V892" s="1182"/>
      <c r="W892" s="1182"/>
      <c r="X892" s="1182"/>
      <c r="Y892" s="1182"/>
    </row>
    <row r="893" spans="1:25" x14ac:dyDescent="0.2">
      <c r="A893" s="1763"/>
      <c r="B893" s="1763"/>
      <c r="C893" s="1763"/>
      <c r="D893" s="1763"/>
      <c r="E893" s="1181"/>
      <c r="R893" s="1182"/>
      <c r="S893" s="1182"/>
      <c r="T893" s="1182"/>
      <c r="U893" s="1182"/>
      <c r="V893" s="1182"/>
      <c r="W893" s="1182"/>
      <c r="X893" s="1182"/>
      <c r="Y893" s="1182"/>
    </row>
    <row r="894" spans="1:25" x14ac:dyDescent="0.2">
      <c r="A894" s="1763"/>
      <c r="B894" s="1763"/>
      <c r="C894" s="1763"/>
      <c r="D894" s="1763"/>
      <c r="E894" s="1181"/>
      <c r="R894" s="1182"/>
      <c r="S894" s="1182"/>
      <c r="T894" s="1182"/>
      <c r="U894" s="1182"/>
      <c r="V894" s="1182"/>
      <c r="W894" s="1182"/>
      <c r="X894" s="1182"/>
      <c r="Y894" s="1182"/>
    </row>
    <row r="895" spans="1:25" x14ac:dyDescent="0.2">
      <c r="A895" s="1763"/>
      <c r="B895" s="1763"/>
      <c r="C895" s="1763"/>
      <c r="D895" s="1763"/>
      <c r="E895" s="1181"/>
      <c r="R895" s="1182"/>
      <c r="S895" s="1182"/>
      <c r="T895" s="1182"/>
      <c r="U895" s="1182"/>
      <c r="V895" s="1182"/>
      <c r="W895" s="1182"/>
      <c r="X895" s="1182"/>
      <c r="Y895" s="1182"/>
    </row>
    <row r="896" spans="1:25" x14ac:dyDescent="0.2">
      <c r="A896" s="1763"/>
      <c r="B896" s="1763"/>
      <c r="C896" s="1763"/>
      <c r="D896" s="1763"/>
      <c r="E896" s="1181"/>
      <c r="R896" s="1182"/>
      <c r="S896" s="1182"/>
      <c r="T896" s="1182"/>
      <c r="U896" s="1182"/>
      <c r="V896" s="1182"/>
      <c r="W896" s="1182"/>
      <c r="X896" s="1182"/>
      <c r="Y896" s="1182"/>
    </row>
    <row r="897" spans="1:25" x14ac:dyDescent="0.2">
      <c r="A897" s="1763"/>
      <c r="B897" s="1763"/>
      <c r="C897" s="1763"/>
      <c r="D897" s="1763"/>
      <c r="E897" s="1181"/>
      <c r="R897" s="1182"/>
      <c r="S897" s="1182"/>
      <c r="T897" s="1182"/>
      <c r="U897" s="1182"/>
      <c r="V897" s="1182"/>
      <c r="W897" s="1182"/>
      <c r="X897" s="1182"/>
      <c r="Y897" s="1182"/>
    </row>
    <row r="898" spans="1:25" x14ac:dyDescent="0.2">
      <c r="A898" s="1763"/>
      <c r="B898" s="1763"/>
      <c r="C898" s="1763"/>
      <c r="D898" s="1763"/>
      <c r="E898" s="1181"/>
      <c r="R898" s="1182"/>
      <c r="S898" s="1182"/>
      <c r="T898" s="1182"/>
      <c r="U898" s="1182"/>
      <c r="V898" s="1182"/>
      <c r="W898" s="1182"/>
      <c r="X898" s="1182"/>
      <c r="Y898" s="1182"/>
    </row>
    <row r="899" spans="1:25" x14ac:dyDescent="0.2">
      <c r="A899" s="1763"/>
      <c r="B899" s="1763"/>
      <c r="C899" s="1763"/>
      <c r="D899" s="1763"/>
      <c r="E899" s="1181"/>
      <c r="R899" s="1182"/>
      <c r="S899" s="1182"/>
      <c r="T899" s="1182"/>
      <c r="U899" s="1182"/>
      <c r="V899" s="1182"/>
      <c r="W899" s="1182"/>
      <c r="X899" s="1182"/>
      <c r="Y899" s="1182"/>
    </row>
    <row r="900" spans="1:25" x14ac:dyDescent="0.2">
      <c r="A900" s="1763"/>
      <c r="B900" s="1763"/>
      <c r="C900" s="1763"/>
      <c r="D900" s="1763"/>
      <c r="E900" s="1181"/>
      <c r="R900" s="1182"/>
      <c r="S900" s="1182"/>
      <c r="T900" s="1182"/>
      <c r="U900" s="1182"/>
      <c r="V900" s="1182"/>
      <c r="W900" s="1182"/>
      <c r="X900" s="1182"/>
      <c r="Y900" s="1182"/>
    </row>
    <row r="901" spans="1:25" x14ac:dyDescent="0.2">
      <c r="A901" s="1763"/>
      <c r="B901" s="1763"/>
      <c r="C901" s="1763"/>
      <c r="D901" s="1763"/>
      <c r="E901" s="1181"/>
      <c r="R901" s="1182"/>
      <c r="S901" s="1182"/>
      <c r="T901" s="1182"/>
      <c r="U901" s="1182"/>
      <c r="V901" s="1182"/>
      <c r="W901" s="1182"/>
      <c r="X901" s="1182"/>
      <c r="Y901" s="1182"/>
    </row>
    <row r="902" spans="1:25" x14ac:dyDescent="0.2">
      <c r="A902" s="1763"/>
      <c r="B902" s="1763"/>
      <c r="C902" s="1763"/>
      <c r="D902" s="1763"/>
      <c r="E902" s="1181"/>
      <c r="R902" s="1182"/>
      <c r="S902" s="1182"/>
      <c r="T902" s="1182"/>
      <c r="U902" s="1182"/>
      <c r="V902" s="1182"/>
      <c r="W902" s="1182"/>
      <c r="X902" s="1182"/>
      <c r="Y902" s="1182"/>
    </row>
    <row r="903" spans="1:25" x14ac:dyDescent="0.2">
      <c r="A903" s="1763"/>
      <c r="B903" s="1763"/>
      <c r="C903" s="1763"/>
      <c r="D903" s="1763"/>
      <c r="E903" s="1181"/>
      <c r="R903" s="1182"/>
      <c r="S903" s="1182"/>
      <c r="T903" s="1182"/>
      <c r="U903" s="1182"/>
      <c r="V903" s="1182"/>
      <c r="W903" s="1182"/>
      <c r="X903" s="1182"/>
      <c r="Y903" s="1182"/>
    </row>
    <row r="904" spans="1:25" x14ac:dyDescent="0.2">
      <c r="A904" s="1763"/>
      <c r="B904" s="1763"/>
      <c r="C904" s="1763"/>
      <c r="D904" s="1763"/>
      <c r="E904" s="1181"/>
      <c r="R904" s="1182"/>
      <c r="S904" s="1182"/>
      <c r="T904" s="1182"/>
      <c r="U904" s="1182"/>
      <c r="V904" s="1182"/>
      <c r="W904" s="1182"/>
      <c r="X904" s="1182"/>
      <c r="Y904" s="1182"/>
    </row>
    <row r="905" spans="1:25" x14ac:dyDescent="0.2">
      <c r="A905" s="1763"/>
      <c r="B905" s="1763"/>
      <c r="C905" s="1763"/>
      <c r="D905" s="1763"/>
      <c r="E905" s="1181"/>
      <c r="R905" s="1182"/>
      <c r="S905" s="1182"/>
      <c r="T905" s="1182"/>
      <c r="U905" s="1182"/>
      <c r="V905" s="1182"/>
      <c r="W905" s="1182"/>
      <c r="X905" s="1182"/>
      <c r="Y905" s="1182"/>
    </row>
    <row r="906" spans="1:25" x14ac:dyDescent="0.2">
      <c r="A906" s="1763"/>
      <c r="B906" s="1763"/>
      <c r="C906" s="1763"/>
      <c r="D906" s="1763"/>
      <c r="E906" s="1181"/>
      <c r="R906" s="1182"/>
      <c r="S906" s="1182"/>
      <c r="T906" s="1182"/>
      <c r="U906" s="1182"/>
      <c r="V906" s="1182"/>
      <c r="W906" s="1182"/>
      <c r="X906" s="1182"/>
      <c r="Y906" s="1182"/>
    </row>
    <row r="907" spans="1:25" x14ac:dyDescent="0.2">
      <c r="A907" s="1763"/>
      <c r="B907" s="1763"/>
      <c r="C907" s="1763"/>
      <c r="D907" s="1763"/>
      <c r="E907" s="1181"/>
      <c r="R907" s="1182"/>
      <c r="S907" s="1182"/>
      <c r="T907" s="1182"/>
      <c r="U907" s="1182"/>
      <c r="V907" s="1182"/>
      <c r="W907" s="1182"/>
      <c r="X907" s="1182"/>
      <c r="Y907" s="1182"/>
    </row>
    <row r="908" spans="1:25" x14ac:dyDescent="0.2">
      <c r="A908" s="1763"/>
      <c r="B908" s="1763"/>
      <c r="C908" s="1763"/>
      <c r="D908" s="1763"/>
      <c r="E908" s="1181"/>
      <c r="R908" s="1182"/>
      <c r="S908" s="1182"/>
      <c r="T908" s="1182"/>
      <c r="U908" s="1182"/>
      <c r="V908" s="1182"/>
      <c r="W908" s="1182"/>
      <c r="X908" s="1182"/>
      <c r="Y908" s="1182"/>
    </row>
    <row r="909" spans="1:25" x14ac:dyDescent="0.2">
      <c r="A909" s="1763"/>
      <c r="B909" s="1763"/>
      <c r="C909" s="1763"/>
      <c r="D909" s="1763"/>
      <c r="E909" s="1181"/>
      <c r="R909" s="1182"/>
      <c r="S909" s="1182"/>
      <c r="T909" s="1182"/>
      <c r="U909" s="1182"/>
      <c r="V909" s="1182"/>
      <c r="W909" s="1182"/>
      <c r="X909" s="1182"/>
      <c r="Y909" s="1182"/>
    </row>
    <row r="910" spans="1:25" x14ac:dyDescent="0.2">
      <c r="A910" s="1763"/>
      <c r="B910" s="1763"/>
      <c r="C910" s="1763"/>
      <c r="D910" s="1763"/>
      <c r="E910" s="1181"/>
      <c r="R910" s="1182"/>
      <c r="S910" s="1182"/>
      <c r="T910" s="1182"/>
      <c r="U910" s="1182"/>
      <c r="V910" s="1182"/>
      <c r="W910" s="1182"/>
      <c r="X910" s="1182"/>
      <c r="Y910" s="1182"/>
    </row>
    <row r="911" spans="1:25" x14ac:dyDescent="0.2">
      <c r="A911" s="1763"/>
      <c r="B911" s="1763"/>
      <c r="C911" s="1763"/>
      <c r="D911" s="1763"/>
      <c r="E911" s="1181"/>
      <c r="R911" s="1182"/>
      <c r="S911" s="1182"/>
      <c r="T911" s="1182"/>
      <c r="U911" s="1182"/>
      <c r="V911" s="1182"/>
      <c r="W911" s="1182"/>
      <c r="X911" s="1182"/>
      <c r="Y911" s="1182"/>
    </row>
    <row r="912" spans="1:25" x14ac:dyDescent="0.2">
      <c r="A912" s="1763"/>
      <c r="B912" s="1763"/>
      <c r="C912" s="1763"/>
      <c r="D912" s="1763"/>
      <c r="E912" s="1181"/>
      <c r="R912" s="1182"/>
      <c r="S912" s="1182"/>
      <c r="T912" s="1182"/>
      <c r="U912" s="1182"/>
      <c r="V912" s="1182"/>
      <c r="W912" s="1182"/>
      <c r="X912" s="1182"/>
      <c r="Y912" s="1182"/>
    </row>
    <row r="913" spans="1:25" x14ac:dyDescent="0.2">
      <c r="A913" s="1763"/>
      <c r="B913" s="1763"/>
      <c r="C913" s="1763"/>
      <c r="D913" s="1763"/>
      <c r="E913" s="1181"/>
      <c r="R913" s="1182"/>
      <c r="S913" s="1182"/>
      <c r="T913" s="1182"/>
      <c r="U913" s="1182"/>
      <c r="V913" s="1182"/>
      <c r="W913" s="1182"/>
      <c r="X913" s="1182"/>
      <c r="Y913" s="1182"/>
    </row>
    <row r="914" spans="1:25" x14ac:dyDescent="0.2">
      <c r="A914" s="1763"/>
      <c r="B914" s="1763"/>
      <c r="C914" s="1763"/>
      <c r="D914" s="1763"/>
      <c r="E914" s="1181"/>
      <c r="R914" s="1182"/>
      <c r="S914" s="1182"/>
      <c r="T914" s="1182"/>
      <c r="U914" s="1182"/>
      <c r="V914" s="1182"/>
      <c r="W914" s="1182"/>
      <c r="X914" s="1182"/>
      <c r="Y914" s="1182"/>
    </row>
    <row r="915" spans="1:25" x14ac:dyDescent="0.2">
      <c r="A915" s="1763"/>
      <c r="B915" s="1763"/>
      <c r="C915" s="1763"/>
      <c r="D915" s="1763"/>
      <c r="E915" s="1181"/>
      <c r="R915" s="1182"/>
      <c r="S915" s="1182"/>
      <c r="T915" s="1182"/>
      <c r="U915" s="1182"/>
      <c r="V915" s="1182"/>
      <c r="W915" s="1182"/>
      <c r="X915" s="1182"/>
      <c r="Y915" s="1182"/>
    </row>
    <row r="916" spans="1:25" x14ac:dyDescent="0.2">
      <c r="A916" s="1763"/>
      <c r="B916" s="1763"/>
      <c r="C916" s="1763"/>
      <c r="D916" s="1763"/>
      <c r="E916" s="1181"/>
      <c r="R916" s="1182"/>
      <c r="S916" s="1182"/>
      <c r="T916" s="1182"/>
      <c r="U916" s="1182"/>
      <c r="V916" s="1182"/>
      <c r="W916" s="1182"/>
      <c r="X916" s="1182"/>
      <c r="Y916" s="1182"/>
    </row>
    <row r="917" spans="1:25" x14ac:dyDescent="0.2">
      <c r="A917" s="1763"/>
      <c r="B917" s="1763"/>
      <c r="C917" s="1763"/>
      <c r="D917" s="1763"/>
      <c r="E917" s="1181"/>
      <c r="R917" s="1182"/>
      <c r="S917" s="1182"/>
      <c r="T917" s="1182"/>
      <c r="U917" s="1182"/>
      <c r="V917" s="1182"/>
      <c r="W917" s="1182"/>
      <c r="X917" s="1182"/>
      <c r="Y917" s="1182"/>
    </row>
    <row r="918" spans="1:25" x14ac:dyDescent="0.2">
      <c r="A918" s="1763"/>
      <c r="B918" s="1763"/>
      <c r="C918" s="1763"/>
      <c r="D918" s="1763"/>
      <c r="E918" s="1181"/>
      <c r="R918" s="1182"/>
      <c r="S918" s="1182"/>
      <c r="T918" s="1182"/>
      <c r="U918" s="1182"/>
      <c r="V918" s="1182"/>
      <c r="W918" s="1182"/>
      <c r="X918" s="1182"/>
      <c r="Y918" s="1182"/>
    </row>
    <row r="919" spans="1:25" x14ac:dyDescent="0.2">
      <c r="A919" s="1763"/>
      <c r="B919" s="1763"/>
      <c r="C919" s="1763"/>
      <c r="D919" s="1763"/>
      <c r="E919" s="1181"/>
      <c r="R919" s="1182"/>
      <c r="S919" s="1182"/>
      <c r="T919" s="1182"/>
      <c r="U919" s="1182"/>
      <c r="V919" s="1182"/>
      <c r="W919" s="1182"/>
      <c r="X919" s="1182"/>
      <c r="Y919" s="1182"/>
    </row>
    <row r="920" spans="1:25" x14ac:dyDescent="0.2">
      <c r="A920" s="1763"/>
      <c r="B920" s="1763"/>
      <c r="C920" s="1763"/>
      <c r="D920" s="1763"/>
      <c r="E920" s="1181"/>
      <c r="R920" s="1182"/>
      <c r="S920" s="1182"/>
      <c r="T920" s="1182"/>
      <c r="U920" s="1182"/>
      <c r="V920" s="1182"/>
      <c r="W920" s="1182"/>
      <c r="X920" s="1182"/>
      <c r="Y920" s="1182"/>
    </row>
    <row r="921" spans="1:25" x14ac:dyDescent="0.2">
      <c r="A921" s="1763"/>
      <c r="B921" s="1763"/>
      <c r="C921" s="1763"/>
      <c r="D921" s="1763"/>
      <c r="E921" s="1181"/>
      <c r="R921" s="1182"/>
      <c r="S921" s="1182"/>
      <c r="T921" s="1182"/>
      <c r="U921" s="1182"/>
      <c r="V921" s="1182"/>
      <c r="W921" s="1182"/>
      <c r="X921" s="1182"/>
      <c r="Y921" s="1182"/>
    </row>
    <row r="922" spans="1:25" x14ac:dyDescent="0.2">
      <c r="A922" s="1763"/>
      <c r="B922" s="1763"/>
      <c r="C922" s="1763"/>
      <c r="D922" s="1763"/>
      <c r="E922" s="1181"/>
      <c r="R922" s="1182"/>
      <c r="S922" s="1182"/>
      <c r="T922" s="1182"/>
      <c r="U922" s="1182"/>
      <c r="V922" s="1182"/>
      <c r="W922" s="1182"/>
      <c r="X922" s="1182"/>
      <c r="Y922" s="1182"/>
    </row>
    <row r="923" spans="1:25" x14ac:dyDescent="0.2">
      <c r="A923" s="1763"/>
      <c r="B923" s="1763"/>
      <c r="C923" s="1763"/>
      <c r="D923" s="1763"/>
      <c r="E923" s="1181"/>
      <c r="R923" s="1182"/>
      <c r="S923" s="1182"/>
      <c r="T923" s="1182"/>
      <c r="U923" s="1182"/>
      <c r="V923" s="1182"/>
      <c r="W923" s="1182"/>
      <c r="X923" s="1182"/>
      <c r="Y923" s="1182"/>
    </row>
    <row r="924" spans="1:25" x14ac:dyDescent="0.2">
      <c r="A924" s="1763"/>
      <c r="B924" s="1763"/>
      <c r="C924" s="1763"/>
      <c r="D924" s="1763"/>
      <c r="E924" s="1181"/>
      <c r="R924" s="1182"/>
      <c r="S924" s="1182"/>
      <c r="T924" s="1182"/>
      <c r="U924" s="1182"/>
      <c r="V924" s="1182"/>
      <c r="W924" s="1182"/>
      <c r="X924" s="1182"/>
      <c r="Y924" s="1182"/>
    </row>
    <row r="925" spans="1:25" x14ac:dyDescent="0.2">
      <c r="A925" s="1763"/>
      <c r="B925" s="1763"/>
      <c r="C925" s="1763"/>
      <c r="D925" s="1763"/>
      <c r="E925" s="1181"/>
      <c r="R925" s="1182"/>
      <c r="S925" s="1182"/>
      <c r="T925" s="1182"/>
      <c r="U925" s="1182"/>
      <c r="V925" s="1182"/>
      <c r="W925" s="1182"/>
      <c r="X925" s="1182"/>
      <c r="Y925" s="1182"/>
    </row>
    <row r="926" spans="1:25" x14ac:dyDescent="0.2">
      <c r="A926" s="1763"/>
      <c r="B926" s="1763"/>
      <c r="C926" s="1763"/>
      <c r="D926" s="1763"/>
      <c r="E926" s="1181"/>
      <c r="R926" s="1182"/>
      <c r="S926" s="1182"/>
      <c r="T926" s="1182"/>
      <c r="U926" s="1182"/>
      <c r="V926" s="1182"/>
      <c r="W926" s="1182"/>
      <c r="X926" s="1182"/>
      <c r="Y926" s="1182"/>
    </row>
    <row r="927" spans="1:25" x14ac:dyDescent="0.2">
      <c r="A927" s="1763"/>
      <c r="B927" s="1763"/>
      <c r="C927" s="1763"/>
      <c r="D927" s="1763"/>
      <c r="E927" s="1181"/>
      <c r="R927" s="1182"/>
      <c r="S927" s="1182"/>
      <c r="T927" s="1182"/>
      <c r="U927" s="1182"/>
      <c r="V927" s="1182"/>
      <c r="W927" s="1182"/>
      <c r="X927" s="1182"/>
      <c r="Y927" s="1182"/>
    </row>
    <row r="928" spans="1:25" x14ac:dyDescent="0.2">
      <c r="A928" s="1763"/>
      <c r="B928" s="1763"/>
      <c r="C928" s="1763"/>
      <c r="D928" s="1763"/>
      <c r="E928" s="1181"/>
      <c r="R928" s="1182"/>
      <c r="S928" s="1182"/>
      <c r="T928" s="1182"/>
      <c r="U928" s="1182"/>
      <c r="V928" s="1182"/>
      <c r="W928" s="1182"/>
      <c r="X928" s="1182"/>
      <c r="Y928" s="1182"/>
    </row>
    <row r="929" spans="1:25" x14ac:dyDescent="0.2">
      <c r="A929" s="1763"/>
      <c r="B929" s="1763"/>
      <c r="C929" s="1763"/>
      <c r="D929" s="1763"/>
      <c r="E929" s="1181"/>
      <c r="R929" s="1182"/>
      <c r="S929" s="1182"/>
      <c r="T929" s="1182"/>
      <c r="U929" s="1182"/>
      <c r="V929" s="1182"/>
      <c r="W929" s="1182"/>
      <c r="X929" s="1182"/>
      <c r="Y929" s="1182"/>
    </row>
    <row r="930" spans="1:25" x14ac:dyDescent="0.2">
      <c r="A930" s="1763"/>
      <c r="B930" s="1763"/>
      <c r="C930" s="1763"/>
      <c r="D930" s="1763"/>
      <c r="E930" s="1181"/>
      <c r="R930" s="1182"/>
      <c r="S930" s="1182"/>
      <c r="T930" s="1182"/>
      <c r="U930" s="1182"/>
      <c r="V930" s="1182"/>
      <c r="W930" s="1182"/>
      <c r="X930" s="1182"/>
      <c r="Y930" s="1182"/>
    </row>
    <row r="931" spans="1:25" x14ac:dyDescent="0.2">
      <c r="A931" s="1763"/>
      <c r="B931" s="1763"/>
      <c r="C931" s="1763"/>
      <c r="D931" s="1763"/>
      <c r="E931" s="1181"/>
      <c r="R931" s="1182"/>
      <c r="S931" s="1182"/>
      <c r="T931" s="1182"/>
      <c r="U931" s="1182"/>
      <c r="V931" s="1182"/>
      <c r="W931" s="1182"/>
      <c r="X931" s="1182"/>
      <c r="Y931" s="1182"/>
    </row>
    <row r="932" spans="1:25" x14ac:dyDescent="0.2">
      <c r="A932" s="1763"/>
      <c r="B932" s="1763"/>
      <c r="C932" s="1763"/>
      <c r="D932" s="1763"/>
      <c r="E932" s="1181"/>
      <c r="R932" s="1182"/>
      <c r="S932" s="1182"/>
      <c r="T932" s="1182"/>
      <c r="U932" s="1182"/>
      <c r="V932" s="1182"/>
      <c r="W932" s="1182"/>
      <c r="X932" s="1182"/>
      <c r="Y932" s="1182"/>
    </row>
    <row r="933" spans="1:25" x14ac:dyDescent="0.2">
      <c r="A933" s="1763"/>
      <c r="B933" s="1763"/>
      <c r="C933" s="1763"/>
      <c r="D933" s="1763"/>
      <c r="E933" s="1181"/>
      <c r="R933" s="1182"/>
      <c r="S933" s="1182"/>
      <c r="T933" s="1182"/>
      <c r="U933" s="1182"/>
      <c r="V933" s="1182"/>
      <c r="W933" s="1182"/>
      <c r="X933" s="1182"/>
      <c r="Y933" s="1182"/>
    </row>
    <row r="934" spans="1:25" x14ac:dyDescent="0.2">
      <c r="A934" s="1763"/>
      <c r="B934" s="1763"/>
      <c r="C934" s="1763"/>
      <c r="D934" s="1763"/>
      <c r="E934" s="1181"/>
      <c r="R934" s="1182"/>
      <c r="S934" s="1182"/>
      <c r="T934" s="1182"/>
      <c r="U934" s="1182"/>
      <c r="V934" s="1182"/>
      <c r="W934" s="1182"/>
      <c r="X934" s="1182"/>
      <c r="Y934" s="1182"/>
    </row>
    <row r="935" spans="1:25" x14ac:dyDescent="0.2">
      <c r="A935" s="1763"/>
      <c r="B935" s="1763"/>
      <c r="C935" s="1763"/>
      <c r="D935" s="1763"/>
      <c r="E935" s="1181"/>
      <c r="R935" s="1182"/>
      <c r="S935" s="1182"/>
      <c r="T935" s="1182"/>
      <c r="U935" s="1182"/>
      <c r="V935" s="1182"/>
      <c r="W935" s="1182"/>
      <c r="X935" s="1182"/>
      <c r="Y935" s="1182"/>
    </row>
    <row r="936" spans="1:25" x14ac:dyDescent="0.2">
      <c r="A936" s="1763"/>
      <c r="B936" s="1763"/>
      <c r="C936" s="1763"/>
      <c r="D936" s="1763"/>
      <c r="E936" s="1181"/>
      <c r="R936" s="1182"/>
      <c r="S936" s="1182"/>
      <c r="T936" s="1182"/>
      <c r="U936" s="1182"/>
      <c r="V936" s="1182"/>
      <c r="W936" s="1182"/>
      <c r="X936" s="1182"/>
      <c r="Y936" s="1182"/>
    </row>
    <row r="937" spans="1:25" x14ac:dyDescent="0.2">
      <c r="A937" s="1763"/>
      <c r="B937" s="1763"/>
      <c r="C937" s="1763"/>
      <c r="D937" s="1763"/>
      <c r="E937" s="1181"/>
      <c r="R937" s="1182"/>
      <c r="S937" s="1182"/>
      <c r="T937" s="1182"/>
      <c r="U937" s="1182"/>
      <c r="V937" s="1182"/>
      <c r="W937" s="1182"/>
      <c r="X937" s="1182"/>
      <c r="Y937" s="1182"/>
    </row>
    <row r="938" spans="1:25" x14ac:dyDescent="0.2">
      <c r="A938" s="1763"/>
      <c r="B938" s="1763"/>
      <c r="C938" s="1763"/>
      <c r="D938" s="1763"/>
      <c r="E938" s="1181"/>
      <c r="R938" s="1182"/>
      <c r="S938" s="1182"/>
      <c r="T938" s="1182"/>
      <c r="U938" s="1182"/>
      <c r="V938" s="1182"/>
      <c r="W938" s="1182"/>
      <c r="X938" s="1182"/>
      <c r="Y938" s="1182"/>
    </row>
    <row r="939" spans="1:25" x14ac:dyDescent="0.2">
      <c r="A939" s="1763"/>
      <c r="B939" s="1763"/>
      <c r="C939" s="1763"/>
      <c r="D939" s="1763"/>
      <c r="E939" s="1181"/>
      <c r="R939" s="1182"/>
      <c r="S939" s="1182"/>
      <c r="T939" s="1182"/>
      <c r="U939" s="1182"/>
      <c r="V939" s="1182"/>
      <c r="W939" s="1182"/>
      <c r="X939" s="1182"/>
      <c r="Y939" s="1182"/>
    </row>
    <row r="940" spans="1:25" x14ac:dyDescent="0.2">
      <c r="A940" s="1763"/>
      <c r="B940" s="1763"/>
      <c r="C940" s="1763"/>
      <c r="D940" s="1763"/>
      <c r="E940" s="1181"/>
      <c r="R940" s="1182"/>
      <c r="S940" s="1182"/>
      <c r="T940" s="1182"/>
      <c r="U940" s="1182"/>
      <c r="V940" s="1182"/>
      <c r="W940" s="1182"/>
      <c r="X940" s="1182"/>
      <c r="Y940" s="1182"/>
    </row>
    <row r="941" spans="1:25" x14ac:dyDescent="0.2">
      <c r="A941" s="1763"/>
      <c r="B941" s="1763"/>
      <c r="C941" s="1763"/>
      <c r="D941" s="1763"/>
      <c r="E941" s="1181"/>
      <c r="R941" s="1182"/>
      <c r="S941" s="1182"/>
      <c r="T941" s="1182"/>
      <c r="U941" s="1182"/>
      <c r="V941" s="1182"/>
      <c r="W941" s="1182"/>
      <c r="X941" s="1182"/>
      <c r="Y941" s="1182"/>
    </row>
    <row r="942" spans="1:25" x14ac:dyDescent="0.2">
      <c r="A942" s="1763"/>
      <c r="B942" s="1763"/>
      <c r="C942" s="1763"/>
      <c r="D942" s="1763"/>
      <c r="E942" s="1181"/>
      <c r="R942" s="1182"/>
      <c r="S942" s="1182"/>
      <c r="T942" s="1182"/>
      <c r="U942" s="1182"/>
      <c r="V942" s="1182"/>
      <c r="W942" s="1182"/>
      <c r="X942" s="1182"/>
      <c r="Y942" s="1182"/>
    </row>
    <row r="943" spans="1:25" x14ac:dyDescent="0.2">
      <c r="A943" s="1763"/>
      <c r="B943" s="1763"/>
      <c r="C943" s="1763"/>
      <c r="D943" s="1763"/>
      <c r="E943" s="1181"/>
      <c r="R943" s="1182"/>
      <c r="S943" s="1182"/>
      <c r="T943" s="1182"/>
      <c r="U943" s="1182"/>
      <c r="V943" s="1182"/>
      <c r="W943" s="1182"/>
      <c r="X943" s="1182"/>
      <c r="Y943" s="1182"/>
    </row>
    <row r="944" spans="1:25" x14ac:dyDescent="0.2">
      <c r="A944" s="1763"/>
      <c r="B944" s="1763"/>
      <c r="C944" s="1763"/>
      <c r="D944" s="1763"/>
      <c r="E944" s="1181"/>
      <c r="R944" s="1182"/>
      <c r="S944" s="1182"/>
      <c r="T944" s="1182"/>
      <c r="U944" s="1182"/>
      <c r="V944" s="1182"/>
      <c r="W944" s="1182"/>
      <c r="X944" s="1182"/>
      <c r="Y944" s="1182"/>
    </row>
    <row r="945" spans="1:25" x14ac:dyDescent="0.2">
      <c r="A945" s="1763"/>
      <c r="B945" s="1763"/>
      <c r="C945" s="1763"/>
      <c r="D945" s="1763"/>
      <c r="E945" s="1181"/>
      <c r="R945" s="1182"/>
      <c r="S945" s="1182"/>
      <c r="T945" s="1182"/>
      <c r="U945" s="1182"/>
      <c r="V945" s="1182"/>
      <c r="W945" s="1182"/>
      <c r="X945" s="1182"/>
      <c r="Y945" s="1182"/>
    </row>
    <row r="946" spans="1:25" x14ac:dyDescent="0.2">
      <c r="A946" s="1763"/>
      <c r="B946" s="1763"/>
      <c r="C946" s="1763"/>
      <c r="D946" s="1763"/>
      <c r="E946" s="1181"/>
      <c r="R946" s="1182"/>
      <c r="S946" s="1182"/>
      <c r="T946" s="1182"/>
      <c r="U946" s="1182"/>
      <c r="V946" s="1182"/>
      <c r="W946" s="1182"/>
      <c r="X946" s="1182"/>
      <c r="Y946" s="1182"/>
    </row>
    <row r="947" spans="1:25" x14ac:dyDescent="0.2">
      <c r="A947" s="1763"/>
      <c r="B947" s="1763"/>
      <c r="C947" s="1763"/>
      <c r="D947" s="1763"/>
      <c r="E947" s="1181"/>
      <c r="R947" s="1182"/>
      <c r="S947" s="1182"/>
      <c r="T947" s="1182"/>
      <c r="U947" s="1182"/>
      <c r="V947" s="1182"/>
      <c r="W947" s="1182"/>
      <c r="X947" s="1182"/>
      <c r="Y947" s="1182"/>
    </row>
    <row r="948" spans="1:25" x14ac:dyDescent="0.2">
      <c r="A948" s="1763"/>
      <c r="B948" s="1763"/>
      <c r="C948" s="1763"/>
      <c r="D948" s="1763"/>
      <c r="E948" s="1181"/>
      <c r="R948" s="1182"/>
      <c r="S948" s="1182"/>
      <c r="T948" s="1182"/>
      <c r="U948" s="1182"/>
      <c r="V948" s="1182"/>
      <c r="W948" s="1182"/>
      <c r="X948" s="1182"/>
      <c r="Y948" s="1182"/>
    </row>
    <row r="949" spans="1:25" x14ac:dyDescent="0.2">
      <c r="A949" s="1763"/>
      <c r="B949" s="1763"/>
      <c r="C949" s="1763"/>
      <c r="D949" s="1763"/>
      <c r="E949" s="1181"/>
      <c r="R949" s="1182"/>
      <c r="S949" s="1182"/>
      <c r="T949" s="1182"/>
      <c r="U949" s="1182"/>
      <c r="V949" s="1182"/>
      <c r="W949" s="1182"/>
      <c r="X949" s="1182"/>
      <c r="Y949" s="1182"/>
    </row>
    <row r="950" spans="1:25" x14ac:dyDescent="0.2">
      <c r="A950" s="1763"/>
      <c r="B950" s="1763"/>
      <c r="C950" s="1763"/>
      <c r="D950" s="1763"/>
      <c r="E950" s="1181"/>
      <c r="R950" s="1182"/>
      <c r="S950" s="1182"/>
      <c r="T950" s="1182"/>
      <c r="U950" s="1182"/>
      <c r="V950" s="1182"/>
      <c r="W950" s="1182"/>
      <c r="X950" s="1182"/>
      <c r="Y950" s="1182"/>
    </row>
    <row r="951" spans="1:25" x14ac:dyDescent="0.2">
      <c r="A951" s="1763"/>
      <c r="B951" s="1763"/>
      <c r="C951" s="1763"/>
      <c r="D951" s="1763"/>
      <c r="E951" s="1181"/>
      <c r="R951" s="1182"/>
      <c r="S951" s="1182"/>
      <c r="T951" s="1182"/>
      <c r="U951" s="1182"/>
      <c r="V951" s="1182"/>
      <c r="W951" s="1182"/>
      <c r="X951" s="1182"/>
      <c r="Y951" s="1182"/>
    </row>
    <row r="952" spans="1:25" x14ac:dyDescent="0.2">
      <c r="A952" s="1763"/>
      <c r="B952" s="1763"/>
      <c r="C952" s="1763"/>
      <c r="D952" s="1763"/>
      <c r="E952" s="1181"/>
      <c r="R952" s="1182"/>
      <c r="S952" s="1182"/>
      <c r="T952" s="1182"/>
      <c r="U952" s="1182"/>
      <c r="V952" s="1182"/>
      <c r="W952" s="1182"/>
      <c r="X952" s="1182"/>
      <c r="Y952" s="1182"/>
    </row>
    <row r="953" spans="1:25" x14ac:dyDescent="0.2">
      <c r="A953" s="1763"/>
      <c r="B953" s="1763"/>
      <c r="C953" s="1763"/>
      <c r="D953" s="1763"/>
      <c r="E953" s="1181"/>
      <c r="R953" s="1182"/>
      <c r="S953" s="1182"/>
      <c r="T953" s="1182"/>
      <c r="U953" s="1182"/>
      <c r="V953" s="1182"/>
      <c r="W953" s="1182"/>
      <c r="X953" s="1182"/>
      <c r="Y953" s="1182"/>
    </row>
    <row r="954" spans="1:25" x14ac:dyDescent="0.2">
      <c r="A954" s="1763"/>
      <c r="B954" s="1763"/>
      <c r="C954" s="1763"/>
      <c r="D954" s="1763"/>
      <c r="E954" s="1181"/>
      <c r="R954" s="1182"/>
      <c r="S954" s="1182"/>
      <c r="T954" s="1182"/>
      <c r="U954" s="1182"/>
      <c r="V954" s="1182"/>
      <c r="W954" s="1182"/>
      <c r="X954" s="1182"/>
      <c r="Y954" s="1182"/>
    </row>
    <row r="955" spans="1:25" x14ac:dyDescent="0.2">
      <c r="A955" s="1763"/>
      <c r="B955" s="1763"/>
      <c r="C955" s="1763"/>
      <c r="D955" s="1763"/>
      <c r="E955" s="1181"/>
      <c r="R955" s="1182"/>
      <c r="S955" s="1182"/>
      <c r="T955" s="1182"/>
      <c r="U955" s="1182"/>
      <c r="V955" s="1182"/>
      <c r="W955" s="1182"/>
      <c r="X955" s="1182"/>
      <c r="Y955" s="1182"/>
    </row>
    <row r="956" spans="1:25" x14ac:dyDescent="0.2">
      <c r="A956" s="1763"/>
      <c r="B956" s="1763"/>
      <c r="C956" s="1763"/>
      <c r="D956" s="1763"/>
      <c r="E956" s="1181"/>
      <c r="R956" s="1182"/>
      <c r="S956" s="1182"/>
      <c r="T956" s="1182"/>
      <c r="U956" s="1182"/>
      <c r="V956" s="1182"/>
      <c r="W956" s="1182"/>
      <c r="X956" s="1182"/>
      <c r="Y956" s="1182"/>
    </row>
    <row r="957" spans="1:25" x14ac:dyDescent="0.2">
      <c r="A957" s="1763"/>
      <c r="B957" s="1763"/>
      <c r="C957" s="1763"/>
      <c r="D957" s="1763"/>
      <c r="E957" s="1181"/>
      <c r="R957" s="1182"/>
      <c r="S957" s="1182"/>
      <c r="T957" s="1182"/>
      <c r="U957" s="1182"/>
      <c r="V957" s="1182"/>
      <c r="W957" s="1182"/>
      <c r="X957" s="1182"/>
      <c r="Y957" s="1182"/>
    </row>
    <row r="958" spans="1:25" x14ac:dyDescent="0.2">
      <c r="A958" s="1763"/>
      <c r="B958" s="1763"/>
      <c r="C958" s="1763"/>
      <c r="D958" s="1763"/>
      <c r="E958" s="1181"/>
      <c r="R958" s="1182"/>
      <c r="S958" s="1182"/>
      <c r="T958" s="1182"/>
      <c r="U958" s="1182"/>
      <c r="V958" s="1182"/>
      <c r="W958" s="1182"/>
      <c r="X958" s="1182"/>
      <c r="Y958" s="1182"/>
    </row>
    <row r="959" spans="1:25" x14ac:dyDescent="0.2">
      <c r="A959" s="1763"/>
      <c r="B959" s="1763"/>
      <c r="C959" s="1763"/>
      <c r="D959" s="1763"/>
      <c r="E959" s="1181"/>
      <c r="R959" s="1182"/>
      <c r="S959" s="1182"/>
      <c r="T959" s="1182"/>
      <c r="U959" s="1182"/>
      <c r="V959" s="1182"/>
      <c r="W959" s="1182"/>
      <c r="X959" s="1182"/>
      <c r="Y959" s="1182"/>
    </row>
    <row r="960" spans="1:25" x14ac:dyDescent="0.2">
      <c r="A960" s="1763"/>
      <c r="B960" s="1763"/>
      <c r="C960" s="1763"/>
      <c r="D960" s="1763"/>
      <c r="E960" s="1181"/>
      <c r="R960" s="1182"/>
      <c r="S960" s="1182"/>
      <c r="T960" s="1182"/>
      <c r="U960" s="1182"/>
      <c r="V960" s="1182"/>
      <c r="W960" s="1182"/>
      <c r="X960" s="1182"/>
      <c r="Y960" s="1182"/>
    </row>
    <row r="961" spans="1:25" x14ac:dyDescent="0.2">
      <c r="A961" s="1763"/>
      <c r="B961" s="1763"/>
      <c r="C961" s="1763"/>
      <c r="D961" s="1763"/>
      <c r="E961" s="1181"/>
      <c r="R961" s="1182"/>
      <c r="S961" s="1182"/>
      <c r="T961" s="1182"/>
      <c r="U961" s="1182"/>
      <c r="V961" s="1182"/>
      <c r="W961" s="1182"/>
      <c r="X961" s="1182"/>
      <c r="Y961" s="1182"/>
    </row>
    <row r="962" spans="1:25" x14ac:dyDescent="0.2">
      <c r="A962" s="1763"/>
      <c r="B962" s="1763"/>
      <c r="C962" s="1763"/>
      <c r="D962" s="1763"/>
      <c r="E962" s="1181"/>
      <c r="R962" s="1182"/>
      <c r="S962" s="1182"/>
      <c r="T962" s="1182"/>
      <c r="U962" s="1182"/>
      <c r="V962" s="1182"/>
      <c r="W962" s="1182"/>
      <c r="X962" s="1182"/>
      <c r="Y962" s="1182"/>
    </row>
    <row r="963" spans="1:25" x14ac:dyDescent="0.2">
      <c r="A963" s="1763"/>
      <c r="B963" s="1763"/>
      <c r="C963" s="1763"/>
      <c r="D963" s="1763"/>
      <c r="E963" s="1181"/>
      <c r="R963" s="1182"/>
      <c r="S963" s="1182"/>
      <c r="T963" s="1182"/>
      <c r="U963" s="1182"/>
      <c r="V963" s="1182"/>
      <c r="W963" s="1182"/>
      <c r="X963" s="1182"/>
      <c r="Y963" s="1182"/>
    </row>
    <row r="964" spans="1:25" x14ac:dyDescent="0.2">
      <c r="A964" s="1763"/>
      <c r="B964" s="1763"/>
      <c r="C964" s="1763"/>
      <c r="D964" s="1763"/>
      <c r="E964" s="1181"/>
      <c r="R964" s="1182"/>
      <c r="S964" s="1182"/>
      <c r="T964" s="1182"/>
      <c r="U964" s="1182"/>
      <c r="V964" s="1182"/>
      <c r="W964" s="1182"/>
      <c r="X964" s="1182"/>
      <c r="Y964" s="1182"/>
    </row>
    <row r="965" spans="1:25" x14ac:dyDescent="0.2">
      <c r="A965" s="1763"/>
      <c r="B965" s="1763"/>
      <c r="C965" s="1763"/>
      <c r="D965" s="1763"/>
      <c r="E965" s="1181"/>
      <c r="R965" s="1182"/>
      <c r="S965" s="1182"/>
      <c r="T965" s="1182"/>
      <c r="U965" s="1182"/>
      <c r="V965" s="1182"/>
      <c r="W965" s="1182"/>
      <c r="X965" s="1182"/>
      <c r="Y965" s="1182"/>
    </row>
    <row r="966" spans="1:25" x14ac:dyDescent="0.2">
      <c r="A966" s="1763"/>
      <c r="B966" s="1763"/>
      <c r="C966" s="1763"/>
      <c r="D966" s="1763"/>
      <c r="E966" s="1181"/>
      <c r="R966" s="1182"/>
      <c r="S966" s="1182"/>
      <c r="T966" s="1182"/>
      <c r="U966" s="1182"/>
      <c r="V966" s="1182"/>
      <c r="W966" s="1182"/>
      <c r="X966" s="1182"/>
      <c r="Y966" s="1182"/>
    </row>
    <row r="967" spans="1:25" x14ac:dyDescent="0.2">
      <c r="A967" s="1763"/>
      <c r="B967" s="1763"/>
      <c r="C967" s="1763"/>
      <c r="D967" s="1763"/>
      <c r="E967" s="1181"/>
      <c r="R967" s="1182"/>
      <c r="S967" s="1182"/>
      <c r="T967" s="1182"/>
      <c r="U967" s="1182"/>
      <c r="V967" s="1182"/>
      <c r="W967" s="1182"/>
      <c r="X967" s="1182"/>
      <c r="Y967" s="1182"/>
    </row>
    <row r="968" spans="1:25" x14ac:dyDescent="0.2">
      <c r="A968" s="1763"/>
      <c r="B968" s="1763"/>
      <c r="C968" s="1763"/>
      <c r="D968" s="1763"/>
      <c r="E968" s="1181"/>
      <c r="R968" s="1182"/>
      <c r="S968" s="1182"/>
      <c r="T968" s="1182"/>
      <c r="U968" s="1182"/>
      <c r="V968" s="1182"/>
      <c r="W968" s="1182"/>
      <c r="X968" s="1182"/>
      <c r="Y968" s="1182"/>
    </row>
    <row r="969" spans="1:25" x14ac:dyDescent="0.2">
      <c r="A969" s="1763"/>
      <c r="B969" s="1763"/>
      <c r="C969" s="1763"/>
      <c r="D969" s="1763"/>
      <c r="E969" s="1181"/>
      <c r="R969" s="1182"/>
      <c r="S969" s="1182"/>
      <c r="T969" s="1182"/>
      <c r="U969" s="1182"/>
      <c r="V969" s="1182"/>
      <c r="W969" s="1182"/>
      <c r="X969" s="1182"/>
      <c r="Y969" s="1182"/>
    </row>
    <row r="970" spans="1:25" x14ac:dyDescent="0.2">
      <c r="A970" s="1763"/>
      <c r="B970" s="1763"/>
      <c r="C970" s="1763"/>
      <c r="D970" s="1763"/>
      <c r="E970" s="1181"/>
      <c r="R970" s="1182"/>
      <c r="S970" s="1182"/>
      <c r="T970" s="1182"/>
      <c r="U970" s="1182"/>
      <c r="V970" s="1182"/>
      <c r="W970" s="1182"/>
      <c r="X970" s="1182"/>
      <c r="Y970" s="1182"/>
    </row>
    <row r="971" spans="1:25" x14ac:dyDescent="0.2">
      <c r="A971" s="1763"/>
      <c r="B971" s="1763"/>
      <c r="C971" s="1763"/>
      <c r="D971" s="1763"/>
      <c r="E971" s="1181"/>
      <c r="R971" s="1182"/>
      <c r="S971" s="1182"/>
      <c r="T971" s="1182"/>
      <c r="U971" s="1182"/>
      <c r="V971" s="1182"/>
      <c r="W971" s="1182"/>
      <c r="X971" s="1182"/>
      <c r="Y971" s="1182"/>
    </row>
    <row r="972" spans="1:25" x14ac:dyDescent="0.2">
      <c r="A972" s="1763"/>
      <c r="B972" s="1763"/>
      <c r="C972" s="1763"/>
      <c r="D972" s="1763"/>
      <c r="E972" s="1181"/>
      <c r="R972" s="1182"/>
      <c r="S972" s="1182"/>
      <c r="T972" s="1182"/>
      <c r="U972" s="1182"/>
      <c r="V972" s="1182"/>
      <c r="W972" s="1182"/>
      <c r="X972" s="1182"/>
      <c r="Y972" s="1182"/>
    </row>
    <row r="973" spans="1:25" x14ac:dyDescent="0.2">
      <c r="A973" s="1763"/>
      <c r="B973" s="1763"/>
      <c r="C973" s="1763"/>
      <c r="D973" s="1763"/>
      <c r="E973" s="1181"/>
      <c r="R973" s="1182"/>
      <c r="S973" s="1182"/>
      <c r="T973" s="1182"/>
      <c r="U973" s="1182"/>
      <c r="V973" s="1182"/>
      <c r="W973" s="1182"/>
      <c r="X973" s="1182"/>
      <c r="Y973" s="1182"/>
    </row>
    <row r="974" spans="1:25" x14ac:dyDescent="0.2">
      <c r="A974" s="1763"/>
      <c r="B974" s="1763"/>
      <c r="C974" s="1763"/>
      <c r="D974" s="1763"/>
      <c r="E974" s="1181"/>
      <c r="R974" s="1182"/>
      <c r="S974" s="1182"/>
      <c r="T974" s="1182"/>
      <c r="U974" s="1182"/>
      <c r="V974" s="1182"/>
      <c r="W974" s="1182"/>
      <c r="X974" s="1182"/>
      <c r="Y974" s="1182"/>
    </row>
    <row r="975" spans="1:25" x14ac:dyDescent="0.2">
      <c r="A975" s="1763"/>
      <c r="B975" s="1763"/>
      <c r="C975" s="1763"/>
      <c r="D975" s="1763"/>
      <c r="E975" s="1181"/>
      <c r="R975" s="1182"/>
      <c r="S975" s="1182"/>
      <c r="T975" s="1182"/>
      <c r="U975" s="1182"/>
      <c r="V975" s="1182"/>
      <c r="W975" s="1182"/>
      <c r="X975" s="1182"/>
      <c r="Y975" s="1182"/>
    </row>
    <row r="976" spans="1:25" x14ac:dyDescent="0.2">
      <c r="A976" s="1763"/>
      <c r="B976" s="1763"/>
      <c r="C976" s="1763"/>
      <c r="D976" s="1763"/>
      <c r="E976" s="1181"/>
      <c r="R976" s="1182"/>
      <c r="S976" s="1182"/>
      <c r="T976" s="1182"/>
      <c r="U976" s="1182"/>
      <c r="V976" s="1182"/>
      <c r="W976" s="1182"/>
      <c r="X976" s="1182"/>
      <c r="Y976" s="1182"/>
    </row>
    <row r="977" spans="1:25" x14ac:dyDescent="0.2">
      <c r="A977" s="1763"/>
      <c r="B977" s="1763"/>
      <c r="C977" s="1763"/>
      <c r="D977" s="1763"/>
      <c r="E977" s="1181"/>
      <c r="R977" s="1182"/>
      <c r="S977" s="1182"/>
      <c r="T977" s="1182"/>
      <c r="U977" s="1182"/>
      <c r="V977" s="1182"/>
      <c r="W977" s="1182"/>
      <c r="X977" s="1182"/>
      <c r="Y977" s="1182"/>
    </row>
    <row r="978" spans="1:25" x14ac:dyDescent="0.2">
      <c r="A978" s="1763"/>
      <c r="B978" s="1763"/>
      <c r="C978" s="1763"/>
      <c r="D978" s="1763"/>
      <c r="E978" s="1181"/>
      <c r="R978" s="1182"/>
      <c r="S978" s="1182"/>
      <c r="T978" s="1182"/>
      <c r="U978" s="1182"/>
      <c r="V978" s="1182"/>
      <c r="W978" s="1182"/>
      <c r="X978" s="1182"/>
      <c r="Y978" s="1182"/>
    </row>
    <row r="979" spans="1:25" x14ac:dyDescent="0.2">
      <c r="A979" s="1763"/>
      <c r="B979" s="1763"/>
      <c r="C979" s="1763"/>
      <c r="D979" s="1763"/>
      <c r="E979" s="1181"/>
      <c r="R979" s="1182"/>
      <c r="S979" s="1182"/>
      <c r="T979" s="1182"/>
      <c r="U979" s="1182"/>
      <c r="V979" s="1182"/>
      <c r="W979" s="1182"/>
      <c r="X979" s="1182"/>
      <c r="Y979" s="1182"/>
    </row>
    <row r="980" spans="1:25" x14ac:dyDescent="0.2">
      <c r="A980" s="1763"/>
      <c r="B980" s="1763"/>
      <c r="C980" s="1763"/>
      <c r="D980" s="1763"/>
      <c r="E980" s="1181"/>
      <c r="R980" s="1182"/>
      <c r="S980" s="1182"/>
      <c r="T980" s="1182"/>
      <c r="U980" s="1182"/>
      <c r="V980" s="1182"/>
      <c r="W980" s="1182"/>
      <c r="X980" s="1182"/>
      <c r="Y980" s="1182"/>
    </row>
    <row r="981" spans="1:25" x14ac:dyDescent="0.2">
      <c r="A981" s="1763"/>
      <c r="B981" s="1763"/>
      <c r="C981" s="1763"/>
      <c r="D981" s="1763"/>
      <c r="E981" s="1181"/>
      <c r="R981" s="1182"/>
      <c r="S981" s="1182"/>
      <c r="T981" s="1182"/>
      <c r="U981" s="1182"/>
      <c r="V981" s="1182"/>
      <c r="W981" s="1182"/>
      <c r="X981" s="1182"/>
      <c r="Y981" s="1182"/>
    </row>
    <row r="982" spans="1:25" x14ac:dyDescent="0.2">
      <c r="A982" s="1763"/>
      <c r="B982" s="1763"/>
      <c r="C982" s="1763"/>
      <c r="D982" s="1763"/>
      <c r="E982" s="1181"/>
      <c r="R982" s="1182"/>
      <c r="S982" s="1182"/>
      <c r="T982" s="1182"/>
      <c r="U982" s="1182"/>
      <c r="V982" s="1182"/>
      <c r="W982" s="1182"/>
      <c r="X982" s="1182"/>
      <c r="Y982" s="1182"/>
    </row>
    <row r="983" spans="1:25" x14ac:dyDescent="0.2">
      <c r="A983" s="1763"/>
      <c r="B983" s="1763"/>
      <c r="C983" s="1763"/>
      <c r="D983" s="1763"/>
      <c r="E983" s="1181"/>
      <c r="R983" s="1182"/>
      <c r="S983" s="1182"/>
      <c r="T983" s="1182"/>
      <c r="U983" s="1182"/>
      <c r="V983" s="1182"/>
      <c r="W983" s="1182"/>
      <c r="X983" s="1182"/>
      <c r="Y983" s="1182"/>
    </row>
    <row r="984" spans="1:25" x14ac:dyDescent="0.2">
      <c r="A984" s="1763"/>
      <c r="B984" s="1763"/>
      <c r="C984" s="1763"/>
      <c r="D984" s="1763"/>
      <c r="E984" s="1181"/>
      <c r="R984" s="1182"/>
      <c r="S984" s="1182"/>
      <c r="T984" s="1182"/>
      <c r="U984" s="1182"/>
      <c r="V984" s="1182"/>
      <c r="W984" s="1182"/>
      <c r="X984" s="1182"/>
      <c r="Y984" s="1182"/>
    </row>
    <row r="985" spans="1:25" x14ac:dyDescent="0.2">
      <c r="A985" s="1763"/>
      <c r="B985" s="1763"/>
      <c r="C985" s="1763"/>
      <c r="D985" s="1763"/>
      <c r="E985" s="1181"/>
      <c r="R985" s="1182"/>
      <c r="S985" s="1182"/>
      <c r="T985" s="1182"/>
      <c r="U985" s="1182"/>
      <c r="V985" s="1182"/>
      <c r="W985" s="1182"/>
      <c r="X985" s="1182"/>
      <c r="Y985" s="1182"/>
    </row>
    <row r="986" spans="1:25" x14ac:dyDescent="0.2">
      <c r="A986" s="1763"/>
      <c r="B986" s="1763"/>
      <c r="C986" s="1763"/>
      <c r="D986" s="1763"/>
      <c r="E986" s="1181"/>
      <c r="R986" s="1182"/>
      <c r="S986" s="1182"/>
      <c r="T986" s="1182"/>
      <c r="U986" s="1182"/>
      <c r="V986" s="1182"/>
      <c r="W986" s="1182"/>
      <c r="X986" s="1182"/>
      <c r="Y986" s="1182"/>
    </row>
    <row r="987" spans="1:25" x14ac:dyDescent="0.2">
      <c r="A987" s="1763"/>
      <c r="B987" s="1763"/>
      <c r="C987" s="1763"/>
      <c r="D987" s="1763"/>
      <c r="E987" s="1181"/>
      <c r="R987" s="1182"/>
      <c r="S987" s="1182"/>
      <c r="T987" s="1182"/>
      <c r="U987" s="1182"/>
      <c r="V987" s="1182"/>
      <c r="W987" s="1182"/>
      <c r="X987" s="1182"/>
      <c r="Y987" s="1182"/>
    </row>
    <row r="988" spans="1:25" x14ac:dyDescent="0.2">
      <c r="A988" s="1763"/>
      <c r="B988" s="1763"/>
      <c r="C988" s="1763"/>
      <c r="D988" s="1763"/>
      <c r="E988" s="1181"/>
      <c r="R988" s="1182"/>
      <c r="S988" s="1182"/>
      <c r="T988" s="1182"/>
      <c r="U988" s="1182"/>
      <c r="V988" s="1182"/>
      <c r="W988" s="1182"/>
      <c r="X988" s="1182"/>
      <c r="Y988" s="1182"/>
    </row>
    <row r="989" spans="1:25" x14ac:dyDescent="0.2">
      <c r="A989" s="1763"/>
      <c r="B989" s="1763"/>
      <c r="C989" s="1763"/>
      <c r="D989" s="1763"/>
      <c r="E989" s="1181"/>
      <c r="R989" s="1182"/>
      <c r="S989" s="1182"/>
      <c r="T989" s="1182"/>
      <c r="U989" s="1182"/>
      <c r="V989" s="1182"/>
      <c r="W989" s="1182"/>
      <c r="X989" s="1182"/>
      <c r="Y989" s="1182"/>
    </row>
    <row r="990" spans="1:25" x14ac:dyDescent="0.2">
      <c r="A990" s="1763"/>
      <c r="B990" s="1763"/>
      <c r="C990" s="1763"/>
      <c r="D990" s="1763"/>
      <c r="E990" s="1181"/>
      <c r="R990" s="1182"/>
      <c r="S990" s="1182"/>
      <c r="T990" s="1182"/>
      <c r="U990" s="1182"/>
      <c r="V990" s="1182"/>
      <c r="W990" s="1182"/>
      <c r="X990" s="1182"/>
      <c r="Y990" s="1182"/>
    </row>
    <row r="991" spans="1:25" x14ac:dyDescent="0.2">
      <c r="A991" s="1763"/>
      <c r="B991" s="1763"/>
      <c r="C991" s="1763"/>
      <c r="D991" s="1763"/>
      <c r="E991" s="1181"/>
      <c r="R991" s="1182"/>
      <c r="S991" s="1182"/>
      <c r="T991" s="1182"/>
      <c r="U991" s="1182"/>
      <c r="V991" s="1182"/>
      <c r="W991" s="1182"/>
      <c r="X991" s="1182"/>
      <c r="Y991" s="1182"/>
    </row>
    <row r="992" spans="1:25" x14ac:dyDescent="0.2">
      <c r="A992" s="1763"/>
      <c r="B992" s="1763"/>
      <c r="C992" s="1763"/>
      <c r="D992" s="1763"/>
      <c r="E992" s="1181"/>
      <c r="R992" s="1182"/>
      <c r="S992" s="1182"/>
      <c r="T992" s="1182"/>
      <c r="U992" s="1182"/>
      <c r="V992" s="1182"/>
      <c r="W992" s="1182"/>
      <c r="X992" s="1182"/>
      <c r="Y992" s="1182"/>
    </row>
    <row r="993" spans="1:25" x14ac:dyDescent="0.2">
      <c r="A993" s="1763"/>
      <c r="B993" s="1763"/>
      <c r="C993" s="1763"/>
      <c r="D993" s="1763"/>
      <c r="E993" s="1181"/>
      <c r="R993" s="1182"/>
      <c r="S993" s="1182"/>
      <c r="T993" s="1182"/>
      <c r="U993" s="1182"/>
      <c r="V993" s="1182"/>
      <c r="W993" s="1182"/>
      <c r="X993" s="1182"/>
      <c r="Y993" s="1182"/>
    </row>
    <row r="994" spans="1:25" x14ac:dyDescent="0.2">
      <c r="A994" s="1763"/>
      <c r="B994" s="1763"/>
      <c r="C994" s="1763"/>
      <c r="D994" s="1763"/>
      <c r="E994" s="1181"/>
      <c r="R994" s="1182"/>
      <c r="S994" s="1182"/>
      <c r="T994" s="1182"/>
      <c r="U994" s="1182"/>
      <c r="V994" s="1182"/>
      <c r="W994" s="1182"/>
      <c r="X994" s="1182"/>
      <c r="Y994" s="1182"/>
    </row>
    <row r="995" spans="1:25" x14ac:dyDescent="0.2">
      <c r="A995" s="1763"/>
      <c r="B995" s="1763"/>
      <c r="C995" s="1763"/>
      <c r="D995" s="1763"/>
      <c r="E995" s="1181"/>
      <c r="R995" s="1182"/>
      <c r="S995" s="1182"/>
      <c r="T995" s="1182"/>
      <c r="U995" s="1182"/>
      <c r="V995" s="1182"/>
      <c r="W995" s="1182"/>
      <c r="X995" s="1182"/>
      <c r="Y995" s="1182"/>
    </row>
    <row r="996" spans="1:25" x14ac:dyDescent="0.2">
      <c r="A996" s="1763"/>
      <c r="B996" s="1763"/>
      <c r="C996" s="1763"/>
      <c r="D996" s="1763"/>
      <c r="E996" s="1181"/>
      <c r="R996" s="1182"/>
      <c r="S996" s="1182"/>
      <c r="T996" s="1182"/>
      <c r="U996" s="1182"/>
      <c r="V996" s="1182"/>
      <c r="W996" s="1182"/>
      <c r="X996" s="1182"/>
      <c r="Y996" s="1182"/>
    </row>
    <row r="997" spans="1:25" x14ac:dyDescent="0.2">
      <c r="A997" s="1763"/>
      <c r="B997" s="1763"/>
      <c r="C997" s="1763"/>
      <c r="D997" s="1763"/>
      <c r="E997" s="1181"/>
      <c r="R997" s="1182"/>
      <c r="S997" s="1182"/>
      <c r="T997" s="1182"/>
      <c r="U997" s="1182"/>
      <c r="V997" s="1182"/>
      <c r="W997" s="1182"/>
      <c r="X997" s="1182"/>
      <c r="Y997" s="1182"/>
    </row>
    <row r="998" spans="1:25" x14ac:dyDescent="0.2">
      <c r="A998" s="1763"/>
      <c r="B998" s="1763"/>
      <c r="C998" s="1763"/>
      <c r="D998" s="1763"/>
      <c r="E998" s="1181"/>
      <c r="R998" s="1182"/>
      <c r="S998" s="1182"/>
      <c r="T998" s="1182"/>
      <c r="U998" s="1182"/>
      <c r="V998" s="1182"/>
      <c r="W998" s="1182"/>
      <c r="X998" s="1182"/>
      <c r="Y998" s="1182"/>
    </row>
    <row r="999" spans="1:25" x14ac:dyDescent="0.2">
      <c r="A999" s="1763"/>
      <c r="B999" s="1763"/>
      <c r="C999" s="1763"/>
      <c r="D999" s="1763"/>
      <c r="E999" s="1181"/>
      <c r="R999" s="1182"/>
      <c r="S999" s="1182"/>
      <c r="T999" s="1182"/>
      <c r="U999" s="1182"/>
      <c r="V999" s="1182"/>
      <c r="W999" s="1182"/>
      <c r="X999" s="1182"/>
      <c r="Y999" s="1182"/>
    </row>
    <row r="1000" spans="1:25" x14ac:dyDescent="0.2">
      <c r="A1000" s="1763"/>
      <c r="B1000" s="1763"/>
      <c r="C1000" s="1763"/>
      <c r="D1000" s="1763"/>
      <c r="E1000" s="1181"/>
      <c r="R1000" s="1182"/>
      <c r="S1000" s="1182"/>
      <c r="T1000" s="1182"/>
      <c r="U1000" s="1182"/>
      <c r="V1000" s="1182"/>
      <c r="W1000" s="1182"/>
      <c r="X1000" s="1182"/>
      <c r="Y1000" s="1182"/>
    </row>
    <row r="1001" spans="1:25" x14ac:dyDescent="0.2">
      <c r="A1001" s="1763"/>
      <c r="B1001" s="1763"/>
      <c r="C1001" s="1763"/>
      <c r="D1001" s="1763"/>
      <c r="E1001" s="1181"/>
      <c r="R1001" s="1182"/>
      <c r="S1001" s="1182"/>
      <c r="T1001" s="1182"/>
      <c r="U1001" s="1182"/>
      <c r="V1001" s="1182"/>
      <c r="W1001" s="1182"/>
      <c r="X1001" s="1182"/>
      <c r="Y1001" s="1182"/>
    </row>
    <row r="1002" spans="1:25" x14ac:dyDescent="0.2">
      <c r="A1002" s="1763"/>
      <c r="B1002" s="1763"/>
      <c r="C1002" s="1763"/>
      <c r="D1002" s="1763"/>
      <c r="E1002" s="1181"/>
      <c r="R1002" s="1182"/>
      <c r="S1002" s="1182"/>
      <c r="T1002" s="1182"/>
      <c r="U1002" s="1182"/>
      <c r="V1002" s="1182"/>
      <c r="W1002" s="1182"/>
      <c r="X1002" s="1182"/>
      <c r="Y1002" s="1182"/>
    </row>
    <row r="1003" spans="1:25" x14ac:dyDescent="0.2">
      <c r="A1003" s="1763"/>
      <c r="B1003" s="1763"/>
      <c r="C1003" s="1763"/>
      <c r="D1003" s="1763"/>
      <c r="E1003" s="1181"/>
      <c r="R1003" s="1182"/>
      <c r="S1003" s="1182"/>
      <c r="T1003" s="1182"/>
      <c r="U1003" s="1182"/>
      <c r="V1003" s="1182"/>
      <c r="W1003" s="1182"/>
      <c r="X1003" s="1182"/>
      <c r="Y1003" s="1182"/>
    </row>
    <row r="1004" spans="1:25" x14ac:dyDescent="0.2">
      <c r="A1004" s="1763"/>
      <c r="B1004" s="1763"/>
      <c r="C1004" s="1763"/>
      <c r="D1004" s="1763"/>
      <c r="E1004" s="1181"/>
      <c r="R1004" s="1182"/>
      <c r="S1004" s="1182"/>
      <c r="T1004" s="1182"/>
      <c r="U1004" s="1182"/>
      <c r="V1004" s="1182"/>
      <c r="W1004" s="1182"/>
      <c r="X1004" s="1182"/>
      <c r="Y1004" s="1182"/>
    </row>
    <row r="1005" spans="1:25" x14ac:dyDescent="0.2">
      <c r="A1005" s="1763"/>
      <c r="B1005" s="1763"/>
      <c r="C1005" s="1763"/>
      <c r="D1005" s="1763"/>
      <c r="E1005" s="1181"/>
      <c r="R1005" s="1182"/>
      <c r="S1005" s="1182"/>
      <c r="T1005" s="1182"/>
      <c r="U1005" s="1182"/>
      <c r="V1005" s="1182"/>
      <c r="W1005" s="1182"/>
      <c r="X1005" s="1182"/>
      <c r="Y1005" s="1182"/>
    </row>
    <row r="1006" spans="1:25" x14ac:dyDescent="0.2">
      <c r="A1006" s="1763"/>
      <c r="B1006" s="1763"/>
      <c r="C1006" s="1763"/>
      <c r="D1006" s="1763"/>
      <c r="E1006" s="1181"/>
      <c r="R1006" s="1182"/>
      <c r="S1006" s="1182"/>
      <c r="T1006" s="1182"/>
      <c r="U1006" s="1182"/>
      <c r="V1006" s="1182"/>
      <c r="W1006" s="1182"/>
      <c r="X1006" s="1182"/>
      <c r="Y1006" s="1182"/>
    </row>
    <row r="1007" spans="1:25" x14ac:dyDescent="0.2">
      <c r="A1007" s="1763"/>
      <c r="B1007" s="1763"/>
      <c r="C1007" s="1763"/>
      <c r="D1007" s="1763"/>
      <c r="E1007" s="1181"/>
      <c r="R1007" s="1182"/>
      <c r="S1007" s="1182"/>
      <c r="T1007" s="1182"/>
      <c r="U1007" s="1182"/>
      <c r="V1007" s="1182"/>
      <c r="W1007" s="1182"/>
      <c r="X1007" s="1182"/>
      <c r="Y1007" s="1182"/>
    </row>
    <row r="1008" spans="1:25" x14ac:dyDescent="0.2">
      <c r="A1008" s="1763"/>
      <c r="B1008" s="1763"/>
      <c r="C1008" s="1763"/>
      <c r="D1008" s="1763"/>
      <c r="E1008" s="1181"/>
      <c r="R1008" s="1182"/>
      <c r="S1008" s="1182"/>
      <c r="T1008" s="1182"/>
      <c r="U1008" s="1182"/>
      <c r="V1008" s="1182"/>
      <c r="W1008" s="1182"/>
      <c r="X1008" s="1182"/>
      <c r="Y1008" s="1182"/>
    </row>
    <row r="1009" spans="1:25" x14ac:dyDescent="0.2">
      <c r="A1009" s="1763"/>
      <c r="B1009" s="1763"/>
      <c r="C1009" s="1763"/>
      <c r="D1009" s="1763"/>
      <c r="E1009" s="1181"/>
      <c r="R1009" s="1182"/>
      <c r="S1009" s="1182"/>
      <c r="T1009" s="1182"/>
      <c r="U1009" s="1182"/>
      <c r="V1009" s="1182"/>
      <c r="W1009" s="1182"/>
      <c r="X1009" s="1182"/>
      <c r="Y1009" s="1182"/>
    </row>
    <row r="1010" spans="1:25" x14ac:dyDescent="0.2">
      <c r="A1010" s="1763"/>
      <c r="B1010" s="1763"/>
      <c r="C1010" s="1763"/>
      <c r="D1010" s="1763"/>
      <c r="E1010" s="1181"/>
      <c r="R1010" s="1182"/>
      <c r="S1010" s="1182"/>
      <c r="T1010" s="1182"/>
      <c r="U1010" s="1182"/>
      <c r="V1010" s="1182"/>
      <c r="W1010" s="1182"/>
      <c r="X1010" s="1182"/>
      <c r="Y1010" s="1182"/>
    </row>
    <row r="1011" spans="1:25" x14ac:dyDescent="0.2">
      <c r="A1011" s="1763"/>
      <c r="B1011" s="1763"/>
      <c r="C1011" s="1763"/>
      <c r="D1011" s="1763"/>
      <c r="E1011" s="1181"/>
      <c r="R1011" s="1182"/>
      <c r="S1011" s="1182"/>
      <c r="T1011" s="1182"/>
      <c r="U1011" s="1182"/>
      <c r="V1011" s="1182"/>
      <c r="W1011" s="1182"/>
      <c r="X1011" s="1182"/>
      <c r="Y1011" s="1182"/>
    </row>
    <row r="1012" spans="1:25" x14ac:dyDescent="0.2">
      <c r="A1012" s="1763"/>
      <c r="B1012" s="1763"/>
      <c r="C1012" s="1763"/>
      <c r="D1012" s="1763"/>
      <c r="E1012" s="1181"/>
      <c r="R1012" s="1182"/>
      <c r="S1012" s="1182"/>
      <c r="T1012" s="1182"/>
      <c r="U1012" s="1182"/>
      <c r="V1012" s="1182"/>
      <c r="W1012" s="1182"/>
      <c r="X1012" s="1182"/>
      <c r="Y1012" s="1182"/>
    </row>
    <row r="1013" spans="1:25" x14ac:dyDescent="0.2">
      <c r="A1013" s="1763"/>
      <c r="B1013" s="1763"/>
      <c r="C1013" s="1763"/>
      <c r="D1013" s="1763"/>
      <c r="E1013" s="1181"/>
      <c r="R1013" s="1182"/>
      <c r="S1013" s="1182"/>
      <c r="T1013" s="1182"/>
      <c r="U1013" s="1182"/>
      <c r="V1013" s="1182"/>
      <c r="W1013" s="1182"/>
      <c r="X1013" s="1182"/>
      <c r="Y1013" s="1182"/>
    </row>
    <row r="1014" spans="1:25" x14ac:dyDescent="0.2">
      <c r="A1014" s="1763"/>
      <c r="B1014" s="1763"/>
      <c r="C1014" s="1763"/>
      <c r="D1014" s="1763"/>
      <c r="E1014" s="1181"/>
      <c r="R1014" s="1182"/>
      <c r="S1014" s="1182"/>
      <c r="T1014" s="1182"/>
      <c r="U1014" s="1182"/>
      <c r="V1014" s="1182"/>
      <c r="W1014" s="1182"/>
      <c r="X1014" s="1182"/>
      <c r="Y1014" s="1182"/>
    </row>
    <row r="1015" spans="1:25" x14ac:dyDescent="0.2">
      <c r="A1015" s="1763"/>
      <c r="B1015" s="1763"/>
      <c r="C1015" s="1763"/>
      <c r="D1015" s="1763"/>
      <c r="E1015" s="1181"/>
      <c r="R1015" s="1182"/>
      <c r="S1015" s="1182"/>
      <c r="T1015" s="1182"/>
      <c r="U1015" s="1182"/>
      <c r="V1015" s="1182"/>
      <c r="W1015" s="1182"/>
      <c r="X1015" s="1182"/>
      <c r="Y1015" s="1182"/>
    </row>
    <row r="1016" spans="1:25" x14ac:dyDescent="0.2">
      <c r="A1016" s="1763"/>
      <c r="B1016" s="1763"/>
      <c r="C1016" s="1763"/>
      <c r="D1016" s="1763"/>
      <c r="E1016" s="1181"/>
      <c r="R1016" s="1182"/>
      <c r="S1016" s="1182"/>
      <c r="T1016" s="1182"/>
      <c r="U1016" s="1182"/>
      <c r="V1016" s="1182"/>
      <c r="W1016" s="1182"/>
      <c r="X1016" s="1182"/>
      <c r="Y1016" s="1182"/>
    </row>
    <row r="1017" spans="1:25" x14ac:dyDescent="0.2">
      <c r="A1017" s="1763"/>
      <c r="B1017" s="1763"/>
      <c r="C1017" s="1763"/>
      <c r="D1017" s="1763"/>
      <c r="E1017" s="1181"/>
      <c r="R1017" s="1182"/>
      <c r="S1017" s="1182"/>
      <c r="T1017" s="1182"/>
      <c r="U1017" s="1182"/>
      <c r="V1017" s="1182"/>
      <c r="W1017" s="1182"/>
      <c r="X1017" s="1182"/>
      <c r="Y1017" s="1182"/>
    </row>
    <row r="1018" spans="1:25" x14ac:dyDescent="0.2">
      <c r="A1018" s="1763"/>
      <c r="B1018" s="1763"/>
      <c r="C1018" s="1763"/>
      <c r="D1018" s="1763"/>
      <c r="E1018" s="1181"/>
      <c r="R1018" s="1182"/>
      <c r="S1018" s="1182"/>
      <c r="T1018" s="1182"/>
      <c r="U1018" s="1182"/>
      <c r="V1018" s="1182"/>
      <c r="W1018" s="1182"/>
      <c r="X1018" s="1182"/>
      <c r="Y1018" s="1182"/>
    </row>
    <row r="1019" spans="1:25" x14ac:dyDescent="0.2">
      <c r="A1019" s="1763"/>
      <c r="B1019" s="1763"/>
      <c r="C1019" s="1763"/>
      <c r="D1019" s="1763"/>
      <c r="E1019" s="1181"/>
      <c r="R1019" s="1182"/>
      <c r="S1019" s="1182"/>
      <c r="T1019" s="1182"/>
      <c r="U1019" s="1182"/>
      <c r="V1019" s="1182"/>
      <c r="W1019" s="1182"/>
      <c r="X1019" s="1182"/>
      <c r="Y1019" s="1182"/>
    </row>
    <row r="1020" spans="1:25" x14ac:dyDescent="0.2">
      <c r="A1020" s="1763"/>
      <c r="B1020" s="1763"/>
      <c r="C1020" s="1763"/>
      <c r="D1020" s="1763"/>
      <c r="E1020" s="1181"/>
      <c r="R1020" s="1182"/>
      <c r="S1020" s="1182"/>
      <c r="T1020" s="1182"/>
      <c r="U1020" s="1182"/>
      <c r="V1020" s="1182"/>
      <c r="W1020" s="1182"/>
      <c r="X1020" s="1182"/>
      <c r="Y1020" s="1182"/>
    </row>
    <row r="1021" spans="1:25" x14ac:dyDescent="0.2">
      <c r="A1021" s="1763"/>
      <c r="B1021" s="1763"/>
      <c r="C1021" s="1763"/>
      <c r="D1021" s="1763"/>
      <c r="E1021" s="1181"/>
      <c r="R1021" s="1182"/>
      <c r="S1021" s="1182"/>
      <c r="T1021" s="1182"/>
      <c r="U1021" s="1182"/>
      <c r="V1021" s="1182"/>
      <c r="W1021" s="1182"/>
      <c r="X1021" s="1182"/>
      <c r="Y1021" s="1182"/>
    </row>
    <row r="1022" spans="1:25" x14ac:dyDescent="0.2">
      <c r="A1022" s="1763"/>
      <c r="B1022" s="1763"/>
      <c r="C1022" s="1763"/>
      <c r="D1022" s="1763"/>
      <c r="E1022" s="1181"/>
      <c r="R1022" s="1182"/>
      <c r="S1022" s="1182"/>
      <c r="T1022" s="1182"/>
      <c r="U1022" s="1182"/>
      <c r="V1022" s="1182"/>
      <c r="W1022" s="1182"/>
      <c r="X1022" s="1182"/>
      <c r="Y1022" s="1182"/>
    </row>
    <row r="1023" spans="1:25" x14ac:dyDescent="0.2">
      <c r="A1023" s="1763"/>
      <c r="B1023" s="1763"/>
      <c r="C1023" s="1763"/>
      <c r="D1023" s="1763"/>
      <c r="E1023" s="1181"/>
      <c r="R1023" s="1182"/>
      <c r="S1023" s="1182"/>
      <c r="T1023" s="1182"/>
      <c r="U1023" s="1182"/>
      <c r="V1023" s="1182"/>
      <c r="W1023" s="1182"/>
      <c r="X1023" s="1182"/>
      <c r="Y1023" s="1182"/>
    </row>
    <row r="1024" spans="1:25" x14ac:dyDescent="0.2">
      <c r="A1024" s="1763"/>
      <c r="B1024" s="1763"/>
      <c r="C1024" s="1763"/>
      <c r="D1024" s="1763"/>
      <c r="E1024" s="1181"/>
      <c r="R1024" s="1182"/>
      <c r="S1024" s="1182"/>
      <c r="T1024" s="1182"/>
      <c r="U1024" s="1182"/>
      <c r="V1024" s="1182"/>
      <c r="W1024" s="1182"/>
      <c r="X1024" s="1182"/>
      <c r="Y1024" s="1182"/>
    </row>
    <row r="1025" spans="1:25" x14ac:dyDescent="0.2">
      <c r="A1025" s="1763"/>
      <c r="B1025" s="1763"/>
      <c r="C1025" s="1763"/>
      <c r="D1025" s="1763"/>
      <c r="E1025" s="1181"/>
      <c r="R1025" s="1182"/>
      <c r="S1025" s="1182"/>
      <c r="T1025" s="1182"/>
      <c r="U1025" s="1182"/>
      <c r="V1025" s="1182"/>
      <c r="W1025" s="1182"/>
      <c r="X1025" s="1182"/>
      <c r="Y1025" s="1182"/>
    </row>
    <row r="1026" spans="1:25" x14ac:dyDescent="0.2">
      <c r="A1026" s="1763"/>
      <c r="B1026" s="1763"/>
      <c r="C1026" s="1763"/>
      <c r="D1026" s="1763"/>
      <c r="E1026" s="1181"/>
      <c r="R1026" s="1182"/>
      <c r="S1026" s="1182"/>
      <c r="T1026" s="1182"/>
      <c r="U1026" s="1182"/>
      <c r="V1026" s="1182"/>
      <c r="W1026" s="1182"/>
      <c r="X1026" s="1182"/>
      <c r="Y1026" s="1182"/>
    </row>
    <row r="1027" spans="1:25" x14ac:dyDescent="0.2">
      <c r="A1027" s="1763"/>
      <c r="B1027" s="1763"/>
      <c r="C1027" s="1763"/>
      <c r="D1027" s="1763"/>
      <c r="E1027" s="1181"/>
      <c r="R1027" s="1182"/>
      <c r="S1027" s="1182"/>
      <c r="T1027" s="1182"/>
      <c r="U1027" s="1182"/>
      <c r="V1027" s="1182"/>
      <c r="W1027" s="1182"/>
      <c r="X1027" s="1182"/>
      <c r="Y1027" s="1182"/>
    </row>
    <row r="1028" spans="1:25" x14ac:dyDescent="0.2">
      <c r="A1028" s="1763"/>
      <c r="B1028" s="1763"/>
      <c r="C1028" s="1763"/>
      <c r="D1028" s="1763"/>
      <c r="E1028" s="1181"/>
      <c r="R1028" s="1182"/>
      <c r="S1028" s="1182"/>
      <c r="T1028" s="1182"/>
      <c r="U1028" s="1182"/>
      <c r="V1028" s="1182"/>
      <c r="W1028" s="1182"/>
      <c r="X1028" s="1182"/>
      <c r="Y1028" s="1182"/>
    </row>
    <row r="1029" spans="1:25" x14ac:dyDescent="0.2">
      <c r="A1029" s="1763"/>
      <c r="B1029" s="1763"/>
      <c r="C1029" s="1763"/>
      <c r="D1029" s="1763"/>
      <c r="E1029" s="1181"/>
      <c r="R1029" s="1182"/>
      <c r="S1029" s="1182"/>
      <c r="T1029" s="1182"/>
      <c r="U1029" s="1182"/>
      <c r="V1029" s="1182"/>
      <c r="W1029" s="1182"/>
      <c r="X1029" s="1182"/>
      <c r="Y1029" s="1182"/>
    </row>
    <row r="1030" spans="1:25" x14ac:dyDescent="0.2">
      <c r="A1030" s="1763"/>
      <c r="B1030" s="1763"/>
      <c r="C1030" s="1763"/>
      <c r="D1030" s="1763"/>
      <c r="E1030" s="1181"/>
      <c r="R1030" s="1182"/>
      <c r="S1030" s="1182"/>
      <c r="T1030" s="1182"/>
      <c r="U1030" s="1182"/>
      <c r="V1030" s="1182"/>
      <c r="W1030" s="1182"/>
      <c r="X1030" s="1182"/>
      <c r="Y1030" s="1182"/>
    </row>
    <row r="1031" spans="1:25" x14ac:dyDescent="0.2">
      <c r="A1031" s="1763"/>
      <c r="B1031" s="1763"/>
      <c r="C1031" s="1763"/>
      <c r="D1031" s="1763"/>
      <c r="E1031" s="1181"/>
      <c r="R1031" s="1182"/>
      <c r="S1031" s="1182"/>
      <c r="T1031" s="1182"/>
      <c r="U1031" s="1182"/>
      <c r="V1031" s="1182"/>
      <c r="W1031" s="1182"/>
      <c r="X1031" s="1182"/>
      <c r="Y1031" s="1182"/>
    </row>
    <row r="1032" spans="1:25" x14ac:dyDescent="0.2">
      <c r="A1032" s="1763"/>
      <c r="B1032" s="1763"/>
      <c r="C1032" s="1763"/>
      <c r="D1032" s="1763"/>
      <c r="E1032" s="1181"/>
      <c r="R1032" s="1182"/>
      <c r="S1032" s="1182"/>
      <c r="T1032" s="1182"/>
      <c r="U1032" s="1182"/>
      <c r="V1032" s="1182"/>
      <c r="W1032" s="1182"/>
      <c r="X1032" s="1182"/>
      <c r="Y1032" s="1182"/>
    </row>
    <row r="1033" spans="1:25" x14ac:dyDescent="0.2">
      <c r="A1033" s="1763"/>
      <c r="B1033" s="1763"/>
      <c r="C1033" s="1763"/>
      <c r="D1033" s="1763"/>
      <c r="E1033" s="1181"/>
      <c r="R1033" s="1182"/>
      <c r="S1033" s="1182"/>
      <c r="T1033" s="1182"/>
      <c r="U1033" s="1182"/>
      <c r="V1033" s="1182"/>
      <c r="W1033" s="1182"/>
      <c r="X1033" s="1182"/>
      <c r="Y1033" s="1182"/>
    </row>
    <row r="1034" spans="1:25" x14ac:dyDescent="0.2">
      <c r="A1034" s="1763"/>
      <c r="B1034" s="1763"/>
      <c r="C1034" s="1763"/>
      <c r="D1034" s="1763"/>
      <c r="E1034" s="1181"/>
      <c r="R1034" s="1182"/>
      <c r="S1034" s="1182"/>
      <c r="T1034" s="1182"/>
      <c r="U1034" s="1182"/>
      <c r="V1034" s="1182"/>
      <c r="W1034" s="1182"/>
      <c r="X1034" s="1182"/>
      <c r="Y1034" s="1182"/>
    </row>
    <row r="1035" spans="1:25" x14ac:dyDescent="0.2">
      <c r="A1035" s="1763"/>
      <c r="B1035" s="1763"/>
      <c r="C1035" s="1763"/>
      <c r="D1035" s="1763"/>
      <c r="E1035" s="1181"/>
      <c r="R1035" s="1182"/>
      <c r="S1035" s="1182"/>
      <c r="T1035" s="1182"/>
      <c r="U1035" s="1182"/>
      <c r="V1035" s="1182"/>
      <c r="W1035" s="1182"/>
      <c r="X1035" s="1182"/>
      <c r="Y1035" s="1182"/>
    </row>
    <row r="1036" spans="1:25" x14ac:dyDescent="0.2">
      <c r="A1036" s="1763"/>
      <c r="B1036" s="1763"/>
      <c r="C1036" s="1763"/>
      <c r="D1036" s="1763"/>
      <c r="E1036" s="1181"/>
      <c r="R1036" s="1182"/>
      <c r="S1036" s="1182"/>
      <c r="T1036" s="1182"/>
      <c r="U1036" s="1182"/>
      <c r="V1036" s="1182"/>
      <c r="W1036" s="1182"/>
      <c r="X1036" s="1182"/>
      <c r="Y1036" s="1182"/>
    </row>
    <row r="1037" spans="1:25" x14ac:dyDescent="0.2">
      <c r="A1037" s="1763"/>
      <c r="B1037" s="1763"/>
      <c r="C1037" s="1763"/>
      <c r="D1037" s="1763"/>
      <c r="E1037" s="1181"/>
      <c r="R1037" s="1182"/>
      <c r="S1037" s="1182"/>
      <c r="T1037" s="1182"/>
      <c r="U1037" s="1182"/>
      <c r="V1037" s="1182"/>
      <c r="W1037" s="1182"/>
      <c r="X1037" s="1182"/>
      <c r="Y1037" s="1182"/>
    </row>
    <row r="1038" spans="1:25" x14ac:dyDescent="0.2">
      <c r="A1038" s="1763"/>
      <c r="B1038" s="1763"/>
      <c r="C1038" s="1763"/>
      <c r="D1038" s="1763"/>
      <c r="E1038" s="1181"/>
      <c r="R1038" s="1182"/>
      <c r="S1038" s="1182"/>
      <c r="T1038" s="1182"/>
      <c r="U1038" s="1182"/>
      <c r="V1038" s="1182"/>
      <c r="W1038" s="1182"/>
      <c r="X1038" s="1182"/>
      <c r="Y1038" s="1182"/>
    </row>
    <row r="1039" spans="1:25" x14ac:dyDescent="0.2">
      <c r="A1039" s="1763"/>
      <c r="B1039" s="1763"/>
      <c r="C1039" s="1763"/>
      <c r="D1039" s="1763"/>
      <c r="E1039" s="1181"/>
      <c r="R1039" s="1182"/>
      <c r="S1039" s="1182"/>
      <c r="T1039" s="1182"/>
      <c r="U1039" s="1182"/>
      <c r="V1039" s="1182"/>
      <c r="W1039" s="1182"/>
      <c r="X1039" s="1182"/>
      <c r="Y1039" s="1182"/>
    </row>
    <row r="1040" spans="1:25" x14ac:dyDescent="0.2">
      <c r="A1040" s="1763"/>
      <c r="B1040" s="1763"/>
      <c r="C1040" s="1763"/>
      <c r="D1040" s="1763"/>
      <c r="E1040" s="1181"/>
      <c r="R1040" s="1182"/>
      <c r="S1040" s="1182"/>
      <c r="T1040" s="1182"/>
      <c r="U1040" s="1182"/>
      <c r="V1040" s="1182"/>
      <c r="W1040" s="1182"/>
      <c r="X1040" s="1182"/>
      <c r="Y1040" s="1182"/>
    </row>
    <row r="1041" spans="1:25" x14ac:dyDescent="0.2">
      <c r="A1041" s="1763"/>
      <c r="B1041" s="1763"/>
      <c r="C1041" s="1763"/>
      <c r="D1041" s="1763"/>
      <c r="E1041" s="1181"/>
      <c r="R1041" s="1182"/>
      <c r="S1041" s="1182"/>
      <c r="T1041" s="1182"/>
      <c r="U1041" s="1182"/>
      <c r="V1041" s="1182"/>
      <c r="W1041" s="1182"/>
      <c r="X1041" s="1182"/>
      <c r="Y1041" s="1182"/>
    </row>
    <row r="1042" spans="1:25" x14ac:dyDescent="0.2">
      <c r="A1042" s="1763"/>
      <c r="B1042" s="1763"/>
      <c r="C1042" s="1763"/>
      <c r="D1042" s="1763"/>
      <c r="E1042" s="1181"/>
      <c r="R1042" s="1182"/>
      <c r="S1042" s="1182"/>
      <c r="T1042" s="1182"/>
      <c r="U1042" s="1182"/>
      <c r="V1042" s="1182"/>
      <c r="W1042" s="1182"/>
      <c r="X1042" s="1182"/>
      <c r="Y1042" s="1182"/>
    </row>
    <row r="1043" spans="1:25" x14ac:dyDescent="0.2">
      <c r="A1043" s="1763"/>
      <c r="B1043" s="1763"/>
      <c r="C1043" s="1763"/>
      <c r="D1043" s="1763"/>
      <c r="E1043" s="1181"/>
      <c r="R1043" s="1182"/>
      <c r="S1043" s="1182"/>
      <c r="T1043" s="1182"/>
      <c r="U1043" s="1182"/>
      <c r="V1043" s="1182"/>
      <c r="W1043" s="1182"/>
      <c r="X1043" s="1182"/>
      <c r="Y1043" s="1182"/>
    </row>
    <row r="1044" spans="1:25" x14ac:dyDescent="0.2">
      <c r="A1044" s="1763"/>
      <c r="B1044" s="1763"/>
      <c r="C1044" s="1763"/>
      <c r="D1044" s="1763"/>
      <c r="E1044" s="1181"/>
      <c r="R1044" s="1182"/>
      <c r="S1044" s="1182"/>
      <c r="T1044" s="1182"/>
      <c r="U1044" s="1182"/>
      <c r="V1044" s="1182"/>
      <c r="W1044" s="1182"/>
      <c r="X1044" s="1182"/>
      <c r="Y1044" s="1182"/>
    </row>
    <row r="1045" spans="1:25" x14ac:dyDescent="0.2">
      <c r="A1045" s="1763"/>
      <c r="B1045" s="1763"/>
      <c r="C1045" s="1763"/>
      <c r="D1045" s="1763"/>
      <c r="E1045" s="1181"/>
      <c r="R1045" s="1182"/>
      <c r="S1045" s="1182"/>
      <c r="T1045" s="1182"/>
      <c r="U1045" s="1182"/>
      <c r="V1045" s="1182"/>
      <c r="W1045" s="1182"/>
      <c r="X1045" s="1182"/>
      <c r="Y1045" s="1182"/>
    </row>
    <row r="1046" spans="1:25" x14ac:dyDescent="0.2">
      <c r="A1046" s="1763"/>
      <c r="B1046" s="1763"/>
      <c r="C1046" s="1763"/>
      <c r="D1046" s="1763"/>
      <c r="E1046" s="1181"/>
      <c r="R1046" s="1182"/>
      <c r="S1046" s="1182"/>
      <c r="T1046" s="1182"/>
      <c r="U1046" s="1182"/>
      <c r="V1046" s="1182"/>
      <c r="W1046" s="1182"/>
      <c r="X1046" s="1182"/>
      <c r="Y1046" s="1182"/>
    </row>
    <row r="1047" spans="1:25" x14ac:dyDescent="0.2">
      <c r="A1047" s="1763"/>
      <c r="B1047" s="1763"/>
      <c r="C1047" s="1763"/>
      <c r="D1047" s="1763"/>
      <c r="E1047" s="1181"/>
      <c r="R1047" s="1182"/>
      <c r="S1047" s="1182"/>
      <c r="T1047" s="1182"/>
      <c r="U1047" s="1182"/>
      <c r="V1047" s="1182"/>
      <c r="W1047" s="1182"/>
      <c r="X1047" s="1182"/>
      <c r="Y1047" s="1182"/>
    </row>
    <row r="1048" spans="1:25" x14ac:dyDescent="0.2">
      <c r="A1048" s="1763"/>
      <c r="B1048" s="1763"/>
      <c r="C1048" s="1763"/>
      <c r="D1048" s="1763"/>
      <c r="E1048" s="1181"/>
      <c r="R1048" s="1182"/>
      <c r="S1048" s="1182"/>
      <c r="T1048" s="1182"/>
      <c r="U1048" s="1182"/>
      <c r="V1048" s="1182"/>
      <c r="W1048" s="1182"/>
      <c r="X1048" s="1182"/>
      <c r="Y1048" s="1182"/>
    </row>
    <row r="1049" spans="1:25" x14ac:dyDescent="0.2">
      <c r="A1049" s="1763"/>
      <c r="B1049" s="1763"/>
      <c r="C1049" s="1763"/>
      <c r="D1049" s="1763"/>
      <c r="E1049" s="1181"/>
      <c r="R1049" s="1182"/>
      <c r="S1049" s="1182"/>
      <c r="T1049" s="1182"/>
      <c r="U1049" s="1182"/>
      <c r="V1049" s="1182"/>
      <c r="W1049" s="1182"/>
      <c r="X1049" s="1182"/>
      <c r="Y1049" s="1182"/>
    </row>
    <row r="1050" spans="1:25" x14ac:dyDescent="0.2">
      <c r="A1050" s="1763"/>
      <c r="B1050" s="1763"/>
      <c r="C1050" s="1763"/>
      <c r="D1050" s="1763"/>
      <c r="E1050" s="1181"/>
      <c r="R1050" s="1182"/>
      <c r="S1050" s="1182"/>
      <c r="T1050" s="1182"/>
      <c r="U1050" s="1182"/>
      <c r="V1050" s="1182"/>
      <c r="W1050" s="1182"/>
      <c r="X1050" s="1182"/>
      <c r="Y1050" s="1182"/>
    </row>
    <row r="1051" spans="1:25" x14ac:dyDescent="0.2">
      <c r="A1051" s="1763"/>
      <c r="B1051" s="1763"/>
      <c r="C1051" s="1763"/>
      <c r="D1051" s="1763"/>
      <c r="E1051" s="1181"/>
      <c r="R1051" s="1182"/>
      <c r="S1051" s="1182"/>
      <c r="T1051" s="1182"/>
      <c r="U1051" s="1182"/>
      <c r="V1051" s="1182"/>
      <c r="W1051" s="1182"/>
      <c r="X1051" s="1182"/>
      <c r="Y1051" s="1182"/>
    </row>
    <row r="1052" spans="1:25" x14ac:dyDescent="0.2">
      <c r="A1052" s="1763"/>
      <c r="B1052" s="1763"/>
      <c r="C1052" s="1763"/>
      <c r="D1052" s="1763"/>
      <c r="E1052" s="1181"/>
      <c r="R1052" s="1182"/>
      <c r="S1052" s="1182"/>
      <c r="T1052" s="1182"/>
      <c r="U1052" s="1182"/>
      <c r="V1052" s="1182"/>
      <c r="W1052" s="1182"/>
      <c r="X1052" s="1182"/>
      <c r="Y1052" s="1182"/>
    </row>
    <row r="1053" spans="1:25" x14ac:dyDescent="0.2">
      <c r="A1053" s="1763"/>
      <c r="B1053" s="1763"/>
      <c r="C1053" s="1763"/>
      <c r="D1053" s="1763"/>
      <c r="E1053" s="1181"/>
      <c r="R1053" s="1182"/>
      <c r="S1053" s="1182"/>
      <c r="T1053" s="1182"/>
      <c r="U1053" s="1182"/>
      <c r="V1053" s="1182"/>
      <c r="W1053" s="1182"/>
      <c r="X1053" s="1182"/>
      <c r="Y1053" s="1182"/>
    </row>
    <row r="1054" spans="1:25" x14ac:dyDescent="0.2">
      <c r="A1054" s="1763"/>
      <c r="B1054" s="1763"/>
      <c r="C1054" s="1763"/>
      <c r="D1054" s="1763"/>
      <c r="E1054" s="1181"/>
      <c r="R1054" s="1182"/>
      <c r="S1054" s="1182"/>
      <c r="T1054" s="1182"/>
      <c r="U1054" s="1182"/>
      <c r="V1054" s="1182"/>
      <c r="W1054" s="1182"/>
      <c r="X1054" s="1182"/>
      <c r="Y1054" s="1182"/>
    </row>
    <row r="1055" spans="1:25" x14ac:dyDescent="0.2">
      <c r="A1055" s="1763"/>
      <c r="B1055" s="1763"/>
      <c r="C1055" s="1763"/>
      <c r="D1055" s="1763"/>
      <c r="E1055" s="1181"/>
      <c r="R1055" s="1182"/>
      <c r="S1055" s="1182"/>
      <c r="T1055" s="1182"/>
      <c r="U1055" s="1182"/>
      <c r="V1055" s="1182"/>
      <c r="W1055" s="1182"/>
      <c r="X1055" s="1182"/>
      <c r="Y1055" s="1182"/>
    </row>
    <row r="1056" spans="1:25" x14ac:dyDescent="0.2">
      <c r="A1056" s="1763"/>
      <c r="B1056" s="1763"/>
      <c r="C1056" s="1763"/>
      <c r="D1056" s="1763"/>
      <c r="E1056" s="1181"/>
      <c r="R1056" s="1182"/>
      <c r="S1056" s="1182"/>
      <c r="T1056" s="1182"/>
      <c r="U1056" s="1182"/>
      <c r="V1056" s="1182"/>
      <c r="W1056" s="1182"/>
      <c r="X1056" s="1182"/>
      <c r="Y1056" s="1182"/>
    </row>
    <row r="1057" spans="1:25" x14ac:dyDescent="0.2">
      <c r="A1057" s="1763"/>
      <c r="B1057" s="1763"/>
      <c r="C1057" s="1763"/>
      <c r="D1057" s="1763"/>
      <c r="E1057" s="1181"/>
      <c r="R1057" s="1182"/>
      <c r="S1057" s="1182"/>
      <c r="T1057" s="1182"/>
      <c r="U1057" s="1182"/>
      <c r="V1057" s="1182"/>
      <c r="W1057" s="1182"/>
      <c r="X1057" s="1182"/>
      <c r="Y1057" s="1182"/>
    </row>
    <row r="1058" spans="1:25" x14ac:dyDescent="0.2">
      <c r="A1058" s="1763"/>
      <c r="B1058" s="1763"/>
      <c r="C1058" s="1763"/>
      <c r="D1058" s="1763"/>
      <c r="E1058" s="1181"/>
      <c r="R1058" s="1182"/>
      <c r="S1058" s="1182"/>
      <c r="T1058" s="1182"/>
      <c r="U1058" s="1182"/>
      <c r="V1058" s="1182"/>
      <c r="W1058" s="1182"/>
      <c r="X1058" s="1182"/>
      <c r="Y1058" s="1182"/>
    </row>
    <row r="1059" spans="1:25" x14ac:dyDescent="0.2">
      <c r="A1059" s="1763"/>
      <c r="B1059" s="1763"/>
      <c r="C1059" s="1763"/>
      <c r="D1059" s="1763"/>
      <c r="E1059" s="1181"/>
      <c r="R1059" s="1182"/>
      <c r="S1059" s="1182"/>
      <c r="T1059" s="1182"/>
      <c r="U1059" s="1182"/>
      <c r="V1059" s="1182"/>
      <c r="W1059" s="1182"/>
      <c r="X1059" s="1182"/>
      <c r="Y1059" s="1182"/>
    </row>
    <row r="1060" spans="1:25" x14ac:dyDescent="0.2">
      <c r="A1060" s="1763"/>
      <c r="B1060" s="1763"/>
      <c r="C1060" s="1763"/>
      <c r="D1060" s="1763"/>
      <c r="E1060" s="1181"/>
      <c r="R1060" s="1182"/>
      <c r="S1060" s="1182"/>
      <c r="T1060" s="1182"/>
      <c r="U1060" s="1182"/>
      <c r="V1060" s="1182"/>
      <c r="W1060" s="1182"/>
      <c r="X1060" s="1182"/>
      <c r="Y1060" s="1182"/>
    </row>
    <row r="1061" spans="1:25" x14ac:dyDescent="0.2">
      <c r="A1061" s="1763"/>
      <c r="B1061" s="1763"/>
      <c r="C1061" s="1763"/>
      <c r="D1061" s="1763"/>
      <c r="E1061" s="1181"/>
      <c r="R1061" s="1182"/>
      <c r="S1061" s="1182"/>
      <c r="T1061" s="1182"/>
      <c r="U1061" s="1182"/>
      <c r="V1061" s="1182"/>
      <c r="W1061" s="1182"/>
      <c r="X1061" s="1182"/>
      <c r="Y1061" s="1182"/>
    </row>
    <row r="1062" spans="1:25" x14ac:dyDescent="0.2">
      <c r="A1062" s="1763"/>
      <c r="B1062" s="1763"/>
      <c r="C1062" s="1763"/>
      <c r="D1062" s="1763"/>
      <c r="E1062" s="1181"/>
      <c r="R1062" s="1182"/>
      <c r="S1062" s="1182"/>
      <c r="T1062" s="1182"/>
      <c r="U1062" s="1182"/>
      <c r="V1062" s="1182"/>
      <c r="W1062" s="1182"/>
      <c r="X1062" s="1182"/>
      <c r="Y1062" s="1182"/>
    </row>
    <row r="1063" spans="1:25" x14ac:dyDescent="0.2">
      <c r="A1063" s="1763"/>
      <c r="B1063" s="1763"/>
      <c r="C1063" s="1763"/>
      <c r="D1063" s="1763"/>
      <c r="E1063" s="1181"/>
      <c r="R1063" s="1182"/>
      <c r="S1063" s="1182"/>
      <c r="T1063" s="1182"/>
      <c r="U1063" s="1182"/>
      <c r="V1063" s="1182"/>
      <c r="W1063" s="1182"/>
      <c r="X1063" s="1182"/>
      <c r="Y1063" s="1182"/>
    </row>
    <row r="1064" spans="1:25" x14ac:dyDescent="0.2">
      <c r="A1064" s="1763"/>
      <c r="B1064" s="1763"/>
      <c r="C1064" s="1763"/>
      <c r="D1064" s="1763"/>
      <c r="E1064" s="1181"/>
      <c r="R1064" s="1182"/>
      <c r="S1064" s="1182"/>
      <c r="T1064" s="1182"/>
      <c r="U1064" s="1182"/>
      <c r="V1064" s="1182"/>
      <c r="W1064" s="1182"/>
      <c r="X1064" s="1182"/>
      <c r="Y1064" s="1182"/>
    </row>
    <row r="1065" spans="1:25" x14ac:dyDescent="0.2">
      <c r="A1065" s="1763"/>
      <c r="B1065" s="1763"/>
      <c r="C1065" s="1763"/>
      <c r="D1065" s="1763"/>
      <c r="E1065" s="1181"/>
      <c r="R1065" s="1182"/>
      <c r="S1065" s="1182"/>
      <c r="T1065" s="1182"/>
      <c r="U1065" s="1182"/>
      <c r="V1065" s="1182"/>
      <c r="W1065" s="1182"/>
      <c r="X1065" s="1182"/>
      <c r="Y1065" s="1182"/>
    </row>
    <row r="1066" spans="1:25" x14ac:dyDescent="0.2">
      <c r="A1066" s="1763"/>
      <c r="B1066" s="1763"/>
      <c r="C1066" s="1763"/>
      <c r="D1066" s="1763"/>
      <c r="E1066" s="1181"/>
      <c r="R1066" s="1182"/>
      <c r="S1066" s="1182"/>
      <c r="T1066" s="1182"/>
      <c r="U1066" s="1182"/>
      <c r="V1066" s="1182"/>
      <c r="W1066" s="1182"/>
      <c r="X1066" s="1182"/>
      <c r="Y1066" s="1182"/>
    </row>
    <row r="1067" spans="1:25" x14ac:dyDescent="0.2">
      <c r="A1067" s="1763"/>
      <c r="B1067" s="1763"/>
      <c r="C1067" s="1763"/>
      <c r="D1067" s="1763"/>
      <c r="E1067" s="1181"/>
      <c r="R1067" s="1182"/>
      <c r="S1067" s="1182"/>
      <c r="T1067" s="1182"/>
      <c r="U1067" s="1182"/>
      <c r="V1067" s="1182"/>
      <c r="W1067" s="1182"/>
      <c r="X1067" s="1182"/>
      <c r="Y1067" s="1182"/>
    </row>
    <row r="1068" spans="1:25" x14ac:dyDescent="0.2">
      <c r="A1068" s="1763"/>
      <c r="B1068" s="1763"/>
      <c r="C1068" s="1763"/>
      <c r="D1068" s="1763"/>
      <c r="E1068" s="1181"/>
      <c r="R1068" s="1182"/>
      <c r="S1068" s="1182"/>
      <c r="T1068" s="1182"/>
      <c r="U1068" s="1182"/>
      <c r="V1068" s="1182"/>
      <c r="W1068" s="1182"/>
      <c r="X1068" s="1182"/>
      <c r="Y1068" s="1182"/>
    </row>
    <row r="1069" spans="1:25" x14ac:dyDescent="0.2">
      <c r="A1069" s="1763"/>
      <c r="B1069" s="1763"/>
      <c r="C1069" s="1763"/>
      <c r="D1069" s="1763"/>
      <c r="E1069" s="1181"/>
      <c r="R1069" s="1182"/>
      <c r="S1069" s="1182"/>
      <c r="T1069" s="1182"/>
      <c r="U1069" s="1182"/>
      <c r="V1069" s="1182"/>
      <c r="W1069" s="1182"/>
      <c r="X1069" s="1182"/>
      <c r="Y1069" s="1182"/>
    </row>
    <row r="1070" spans="1:25" x14ac:dyDescent="0.2">
      <c r="A1070" s="1763"/>
      <c r="B1070" s="1763"/>
      <c r="C1070" s="1763"/>
      <c r="D1070" s="1763"/>
      <c r="E1070" s="1181"/>
      <c r="R1070" s="1182"/>
      <c r="S1070" s="1182"/>
      <c r="T1070" s="1182"/>
      <c r="U1070" s="1182"/>
      <c r="V1070" s="1182"/>
      <c r="W1070" s="1182"/>
      <c r="X1070" s="1182"/>
      <c r="Y1070" s="1182"/>
    </row>
    <row r="1071" spans="1:25" x14ac:dyDescent="0.2">
      <c r="A1071" s="1763"/>
      <c r="B1071" s="1763"/>
      <c r="C1071" s="1763"/>
      <c r="D1071" s="1763"/>
      <c r="E1071" s="1181"/>
      <c r="R1071" s="1182"/>
      <c r="S1071" s="1182"/>
      <c r="T1071" s="1182"/>
      <c r="U1071" s="1182"/>
      <c r="V1071" s="1182"/>
      <c r="W1071" s="1182"/>
      <c r="X1071" s="1182"/>
      <c r="Y1071" s="1182"/>
    </row>
    <row r="1072" spans="1:25" x14ac:dyDescent="0.2">
      <c r="A1072" s="1763"/>
      <c r="B1072" s="1763"/>
      <c r="C1072" s="1763"/>
      <c r="D1072" s="1763"/>
      <c r="E1072" s="1181"/>
      <c r="R1072" s="1182"/>
      <c r="S1072" s="1182"/>
      <c r="T1072" s="1182"/>
      <c r="U1072" s="1182"/>
      <c r="V1072" s="1182"/>
      <c r="W1072" s="1182"/>
      <c r="X1072" s="1182"/>
      <c r="Y1072" s="1182"/>
    </row>
    <row r="1073" spans="1:25" x14ac:dyDescent="0.2">
      <c r="A1073" s="1763"/>
      <c r="B1073" s="1763"/>
      <c r="C1073" s="1763"/>
      <c r="D1073" s="1763"/>
      <c r="E1073" s="1181"/>
      <c r="R1073" s="1182"/>
      <c r="S1073" s="1182"/>
      <c r="T1073" s="1182"/>
      <c r="U1073" s="1182"/>
      <c r="V1073" s="1182"/>
      <c r="W1073" s="1182"/>
      <c r="X1073" s="1182"/>
      <c r="Y1073" s="1182"/>
    </row>
    <row r="1074" spans="1:25" x14ac:dyDescent="0.2">
      <c r="A1074" s="1763"/>
      <c r="B1074" s="1763"/>
      <c r="C1074" s="1763"/>
      <c r="D1074" s="1763"/>
      <c r="E1074" s="1181"/>
      <c r="R1074" s="1182"/>
      <c r="S1074" s="1182"/>
      <c r="T1074" s="1182"/>
      <c r="U1074" s="1182"/>
      <c r="V1074" s="1182"/>
      <c r="W1074" s="1182"/>
      <c r="X1074" s="1182"/>
      <c r="Y1074" s="1182"/>
    </row>
    <row r="1075" spans="1:25" x14ac:dyDescent="0.2">
      <c r="A1075" s="1763"/>
      <c r="B1075" s="1763"/>
      <c r="C1075" s="1763"/>
      <c r="D1075" s="1763"/>
      <c r="E1075" s="1181"/>
      <c r="R1075" s="1182"/>
      <c r="S1075" s="1182"/>
      <c r="T1075" s="1182"/>
      <c r="U1075" s="1182"/>
      <c r="V1075" s="1182"/>
      <c r="W1075" s="1182"/>
      <c r="X1075" s="1182"/>
      <c r="Y1075" s="1182"/>
    </row>
    <row r="1076" spans="1:25" x14ac:dyDescent="0.2">
      <c r="A1076" s="1763"/>
      <c r="B1076" s="1763"/>
      <c r="C1076" s="1763"/>
      <c r="D1076" s="1763"/>
      <c r="E1076" s="1181"/>
      <c r="R1076" s="1182"/>
      <c r="S1076" s="1182"/>
      <c r="T1076" s="1182"/>
      <c r="U1076" s="1182"/>
      <c r="V1076" s="1182"/>
      <c r="W1076" s="1182"/>
      <c r="X1076" s="1182"/>
      <c r="Y1076" s="1182"/>
    </row>
    <row r="1077" spans="1:25" x14ac:dyDescent="0.2">
      <c r="A1077" s="1763"/>
      <c r="B1077" s="1763"/>
      <c r="C1077" s="1763"/>
      <c r="D1077" s="1763"/>
      <c r="E1077" s="1181"/>
      <c r="R1077" s="1182"/>
      <c r="S1077" s="1182"/>
      <c r="T1077" s="1182"/>
      <c r="U1077" s="1182"/>
      <c r="V1077" s="1182"/>
      <c r="W1077" s="1182"/>
      <c r="X1077" s="1182"/>
      <c r="Y1077" s="1182"/>
    </row>
    <row r="1078" spans="1:25" x14ac:dyDescent="0.2">
      <c r="A1078" s="1763"/>
      <c r="B1078" s="1763"/>
      <c r="C1078" s="1763"/>
      <c r="D1078" s="1763"/>
      <c r="E1078" s="1181"/>
      <c r="R1078" s="1182"/>
      <c r="S1078" s="1182"/>
      <c r="T1078" s="1182"/>
      <c r="U1078" s="1182"/>
      <c r="V1078" s="1182"/>
      <c r="W1078" s="1182"/>
      <c r="X1078" s="1182"/>
      <c r="Y1078" s="1182"/>
    </row>
    <row r="1079" spans="1:25" x14ac:dyDescent="0.2">
      <c r="A1079" s="1763"/>
      <c r="B1079" s="1763"/>
      <c r="C1079" s="1763"/>
      <c r="D1079" s="1763"/>
      <c r="E1079" s="1181"/>
      <c r="R1079" s="1182"/>
      <c r="S1079" s="1182"/>
      <c r="T1079" s="1182"/>
      <c r="U1079" s="1182"/>
      <c r="V1079" s="1182"/>
      <c r="W1079" s="1182"/>
      <c r="X1079" s="1182"/>
      <c r="Y1079" s="1182"/>
    </row>
    <row r="1080" spans="1:25" x14ac:dyDescent="0.2">
      <c r="A1080" s="1763"/>
      <c r="B1080" s="1763"/>
      <c r="C1080" s="1763"/>
      <c r="D1080" s="1763"/>
      <c r="E1080" s="1181"/>
      <c r="R1080" s="1182"/>
      <c r="S1080" s="1182"/>
      <c r="T1080" s="1182"/>
      <c r="U1080" s="1182"/>
      <c r="V1080" s="1182"/>
      <c r="W1080" s="1182"/>
      <c r="X1080" s="1182"/>
      <c r="Y1080" s="1182"/>
    </row>
    <row r="1081" spans="1:25" x14ac:dyDescent="0.2">
      <c r="A1081" s="1763"/>
      <c r="B1081" s="1763"/>
      <c r="C1081" s="1763"/>
      <c r="D1081" s="1763"/>
      <c r="E1081" s="1181"/>
      <c r="R1081" s="1182"/>
      <c r="S1081" s="1182"/>
      <c r="T1081" s="1182"/>
      <c r="U1081" s="1182"/>
      <c r="V1081" s="1182"/>
      <c r="W1081" s="1182"/>
      <c r="X1081" s="1182"/>
      <c r="Y1081" s="1182"/>
    </row>
    <row r="1082" spans="1:25" x14ac:dyDescent="0.2">
      <c r="A1082" s="1763"/>
      <c r="B1082" s="1763"/>
      <c r="C1082" s="1763"/>
      <c r="D1082" s="1763"/>
      <c r="E1082" s="1181"/>
      <c r="R1082" s="1182"/>
      <c r="S1082" s="1182"/>
      <c r="T1082" s="1182"/>
      <c r="U1082" s="1182"/>
      <c r="V1082" s="1182"/>
      <c r="W1082" s="1182"/>
      <c r="X1082" s="1182"/>
      <c r="Y1082" s="1182"/>
    </row>
    <row r="1083" spans="1:25" x14ac:dyDescent="0.2">
      <c r="A1083" s="1763"/>
      <c r="B1083" s="1763"/>
      <c r="C1083" s="1763"/>
      <c r="D1083" s="1763"/>
      <c r="E1083" s="1181"/>
      <c r="R1083" s="1182"/>
      <c r="S1083" s="1182"/>
      <c r="T1083" s="1182"/>
      <c r="U1083" s="1182"/>
      <c r="V1083" s="1182"/>
      <c r="W1083" s="1182"/>
      <c r="X1083" s="1182"/>
      <c r="Y1083" s="1182"/>
    </row>
    <row r="1084" spans="1:25" x14ac:dyDescent="0.2">
      <c r="A1084" s="1763"/>
      <c r="B1084" s="1763"/>
      <c r="C1084" s="1763"/>
      <c r="D1084" s="1763"/>
      <c r="E1084" s="1181"/>
      <c r="R1084" s="1182"/>
      <c r="S1084" s="1182"/>
      <c r="T1084" s="1182"/>
      <c r="U1084" s="1182"/>
      <c r="V1084" s="1182"/>
      <c r="W1084" s="1182"/>
      <c r="X1084" s="1182"/>
      <c r="Y1084" s="1182"/>
    </row>
    <row r="1085" spans="1:25" x14ac:dyDescent="0.2">
      <c r="A1085" s="1763"/>
      <c r="B1085" s="1763"/>
      <c r="C1085" s="1763"/>
      <c r="D1085" s="1763"/>
      <c r="E1085" s="1181"/>
      <c r="R1085" s="1182"/>
      <c r="S1085" s="1182"/>
      <c r="T1085" s="1182"/>
      <c r="U1085" s="1182"/>
      <c r="V1085" s="1182"/>
      <c r="W1085" s="1182"/>
      <c r="X1085" s="1182"/>
      <c r="Y1085" s="1182"/>
    </row>
    <row r="1086" spans="1:25" x14ac:dyDescent="0.2">
      <c r="A1086" s="1763"/>
      <c r="B1086" s="1763"/>
      <c r="C1086" s="1763"/>
      <c r="D1086" s="1763"/>
      <c r="E1086" s="1181"/>
      <c r="R1086" s="1182"/>
      <c r="S1086" s="1182"/>
      <c r="T1086" s="1182"/>
      <c r="U1086" s="1182"/>
      <c r="V1086" s="1182"/>
      <c r="W1086" s="1182"/>
      <c r="X1086" s="1182"/>
      <c r="Y1086" s="1182"/>
    </row>
    <row r="1087" spans="1:25" x14ac:dyDescent="0.2">
      <c r="A1087" s="1763"/>
      <c r="B1087" s="1763"/>
      <c r="C1087" s="1763"/>
      <c r="D1087" s="1763"/>
      <c r="E1087" s="1181"/>
      <c r="R1087" s="1182"/>
      <c r="S1087" s="1182"/>
      <c r="T1087" s="1182"/>
      <c r="U1087" s="1182"/>
      <c r="V1087" s="1182"/>
      <c r="W1087" s="1182"/>
      <c r="X1087" s="1182"/>
      <c r="Y1087" s="1182"/>
    </row>
    <row r="1088" spans="1:25" x14ac:dyDescent="0.2">
      <c r="A1088" s="1763"/>
      <c r="B1088" s="1763"/>
      <c r="C1088" s="1763"/>
      <c r="D1088" s="1763"/>
      <c r="E1088" s="1181"/>
      <c r="R1088" s="1182"/>
      <c r="S1088" s="1182"/>
      <c r="T1088" s="1182"/>
      <c r="U1088" s="1182"/>
      <c r="V1088" s="1182"/>
      <c r="W1088" s="1182"/>
      <c r="X1088" s="1182"/>
      <c r="Y1088" s="1182"/>
    </row>
    <row r="1089" spans="1:25" x14ac:dyDescent="0.2">
      <c r="A1089" s="1763"/>
      <c r="B1089" s="1763"/>
      <c r="C1089" s="1763"/>
      <c r="D1089" s="1763"/>
      <c r="E1089" s="1181"/>
      <c r="R1089" s="1182"/>
      <c r="S1089" s="1182"/>
      <c r="T1089" s="1182"/>
      <c r="U1089" s="1182"/>
      <c r="V1089" s="1182"/>
      <c r="W1089" s="1182"/>
      <c r="X1089" s="1182"/>
      <c r="Y1089" s="1182"/>
    </row>
    <row r="1090" spans="1:25" x14ac:dyDescent="0.2">
      <c r="A1090" s="1763"/>
      <c r="B1090" s="1763"/>
      <c r="C1090" s="1763"/>
      <c r="D1090" s="1763"/>
      <c r="E1090" s="1181"/>
      <c r="R1090" s="1182"/>
      <c r="S1090" s="1182"/>
      <c r="T1090" s="1182"/>
      <c r="U1090" s="1182"/>
      <c r="V1090" s="1182"/>
      <c r="W1090" s="1182"/>
      <c r="X1090" s="1182"/>
      <c r="Y1090" s="1182"/>
    </row>
    <row r="1091" spans="1:25" x14ac:dyDescent="0.2">
      <c r="A1091" s="1763"/>
      <c r="B1091" s="1763"/>
      <c r="C1091" s="1763"/>
      <c r="D1091" s="1763"/>
      <c r="E1091" s="1181"/>
      <c r="R1091" s="1182"/>
      <c r="S1091" s="1182"/>
      <c r="T1091" s="1182"/>
      <c r="U1091" s="1182"/>
      <c r="V1091" s="1182"/>
      <c r="W1091" s="1182"/>
      <c r="X1091" s="1182"/>
      <c r="Y1091" s="1182"/>
    </row>
    <row r="1092" spans="1:25" x14ac:dyDescent="0.2">
      <c r="A1092" s="1763"/>
      <c r="B1092" s="1763"/>
      <c r="C1092" s="1763"/>
      <c r="D1092" s="1763"/>
      <c r="E1092" s="1181"/>
      <c r="R1092" s="1182"/>
      <c r="S1092" s="1182"/>
      <c r="T1092" s="1182"/>
      <c r="U1092" s="1182"/>
      <c r="V1092" s="1182"/>
      <c r="W1092" s="1182"/>
      <c r="X1092" s="1182"/>
      <c r="Y1092" s="1182"/>
    </row>
    <row r="1093" spans="1:25" x14ac:dyDescent="0.2">
      <c r="A1093" s="1763"/>
      <c r="B1093" s="1763"/>
      <c r="C1093" s="1763"/>
      <c r="D1093" s="1763"/>
      <c r="E1093" s="1181"/>
      <c r="R1093" s="1182"/>
      <c r="S1093" s="1182"/>
      <c r="T1093" s="1182"/>
      <c r="U1093" s="1182"/>
      <c r="V1093" s="1182"/>
      <c r="W1093" s="1182"/>
      <c r="X1093" s="1182"/>
      <c r="Y1093" s="1182"/>
    </row>
    <row r="1094" spans="1:25" x14ac:dyDescent="0.2">
      <c r="A1094" s="1763"/>
      <c r="B1094" s="1763"/>
      <c r="C1094" s="1763"/>
      <c r="D1094" s="1763"/>
      <c r="E1094" s="1181"/>
      <c r="R1094" s="1182"/>
      <c r="S1094" s="1182"/>
      <c r="T1094" s="1182"/>
      <c r="U1094" s="1182"/>
      <c r="V1094" s="1182"/>
      <c r="W1094" s="1182"/>
      <c r="X1094" s="1182"/>
      <c r="Y1094" s="1182"/>
    </row>
    <row r="1095" spans="1:25" x14ac:dyDescent="0.2">
      <c r="A1095" s="1763"/>
      <c r="B1095" s="1763"/>
      <c r="C1095" s="1763"/>
      <c r="D1095" s="1763"/>
      <c r="E1095" s="1181"/>
      <c r="R1095" s="1182"/>
      <c r="S1095" s="1182"/>
      <c r="T1095" s="1182"/>
      <c r="U1095" s="1182"/>
      <c r="V1095" s="1182"/>
      <c r="W1095" s="1182"/>
      <c r="X1095" s="1182"/>
      <c r="Y1095" s="1182"/>
    </row>
    <row r="1096" spans="1:25" x14ac:dyDescent="0.2">
      <c r="A1096" s="1763"/>
      <c r="B1096" s="1763"/>
      <c r="C1096" s="1763"/>
      <c r="D1096" s="1763"/>
      <c r="E1096" s="1181"/>
      <c r="R1096" s="1182"/>
      <c r="S1096" s="1182"/>
      <c r="T1096" s="1182"/>
      <c r="U1096" s="1182"/>
      <c r="V1096" s="1182"/>
      <c r="W1096" s="1182"/>
      <c r="X1096" s="1182"/>
      <c r="Y1096" s="1182"/>
    </row>
    <row r="1097" spans="1:25" x14ac:dyDescent="0.2">
      <c r="A1097" s="1763"/>
      <c r="B1097" s="1763"/>
      <c r="C1097" s="1763"/>
      <c r="D1097" s="1763"/>
      <c r="E1097" s="1181"/>
      <c r="R1097" s="1182"/>
      <c r="S1097" s="1182"/>
      <c r="T1097" s="1182"/>
      <c r="U1097" s="1182"/>
      <c r="V1097" s="1182"/>
      <c r="W1097" s="1182"/>
      <c r="X1097" s="1182"/>
      <c r="Y1097" s="1182"/>
    </row>
    <row r="1098" spans="1:25" x14ac:dyDescent="0.2">
      <c r="A1098" s="1763"/>
      <c r="B1098" s="1763"/>
      <c r="C1098" s="1763"/>
      <c r="D1098" s="1763"/>
      <c r="E1098" s="1181"/>
      <c r="R1098" s="1182"/>
      <c r="S1098" s="1182"/>
      <c r="T1098" s="1182"/>
      <c r="U1098" s="1182"/>
      <c r="V1098" s="1182"/>
      <c r="W1098" s="1182"/>
      <c r="X1098" s="1182"/>
      <c r="Y1098" s="1182"/>
    </row>
    <row r="1099" spans="1:25" x14ac:dyDescent="0.2">
      <c r="A1099" s="1763"/>
      <c r="B1099" s="1763"/>
      <c r="C1099" s="1763"/>
      <c r="D1099" s="1763"/>
      <c r="E1099" s="1181"/>
      <c r="R1099" s="1182"/>
      <c r="S1099" s="1182"/>
      <c r="T1099" s="1182"/>
      <c r="U1099" s="1182"/>
      <c r="V1099" s="1182"/>
      <c r="W1099" s="1182"/>
      <c r="X1099" s="1182"/>
      <c r="Y1099" s="1182"/>
    </row>
    <row r="1100" spans="1:25" x14ac:dyDescent="0.2">
      <c r="A1100" s="1763"/>
      <c r="B1100" s="1763"/>
      <c r="C1100" s="1763"/>
      <c r="D1100" s="1763"/>
      <c r="E1100" s="1181"/>
      <c r="R1100" s="1182"/>
      <c r="S1100" s="1182"/>
      <c r="T1100" s="1182"/>
      <c r="U1100" s="1182"/>
      <c r="V1100" s="1182"/>
      <c r="W1100" s="1182"/>
      <c r="X1100" s="1182"/>
      <c r="Y1100" s="1182"/>
    </row>
    <row r="1101" spans="1:25" x14ac:dyDescent="0.2">
      <c r="A1101" s="1763"/>
      <c r="B1101" s="1763"/>
      <c r="C1101" s="1763"/>
      <c r="D1101" s="1763"/>
      <c r="E1101" s="1181"/>
      <c r="R1101" s="1182"/>
      <c r="S1101" s="1182"/>
      <c r="T1101" s="1182"/>
      <c r="U1101" s="1182"/>
      <c r="V1101" s="1182"/>
      <c r="W1101" s="1182"/>
      <c r="X1101" s="1182"/>
      <c r="Y1101" s="1182"/>
    </row>
    <row r="1102" spans="1:25" x14ac:dyDescent="0.2">
      <c r="A1102" s="1763"/>
      <c r="B1102" s="1763"/>
      <c r="C1102" s="1763"/>
      <c r="D1102" s="1763"/>
      <c r="E1102" s="1181"/>
      <c r="R1102" s="1182"/>
      <c r="S1102" s="1182"/>
      <c r="T1102" s="1182"/>
      <c r="U1102" s="1182"/>
      <c r="V1102" s="1182"/>
      <c r="W1102" s="1182"/>
      <c r="X1102" s="1182"/>
      <c r="Y1102" s="1182"/>
    </row>
    <row r="1103" spans="1:25" x14ac:dyDescent="0.2">
      <c r="A1103" s="1763"/>
      <c r="B1103" s="1763"/>
      <c r="C1103" s="1763"/>
      <c r="D1103" s="1763"/>
      <c r="E1103" s="1181"/>
      <c r="R1103" s="1182"/>
      <c r="S1103" s="1182"/>
      <c r="T1103" s="1182"/>
      <c r="U1103" s="1182"/>
      <c r="V1103" s="1182"/>
      <c r="W1103" s="1182"/>
      <c r="X1103" s="1182"/>
      <c r="Y1103" s="1182"/>
    </row>
    <row r="1104" spans="1:25" x14ac:dyDescent="0.2">
      <c r="A1104" s="1763"/>
      <c r="B1104" s="1763"/>
      <c r="C1104" s="1763"/>
      <c r="D1104" s="1763"/>
      <c r="E1104" s="1181"/>
      <c r="R1104" s="1182"/>
      <c r="S1104" s="1182"/>
      <c r="T1104" s="1182"/>
      <c r="U1104" s="1182"/>
      <c r="V1104" s="1182"/>
      <c r="W1104" s="1182"/>
      <c r="X1104" s="1182"/>
      <c r="Y1104" s="1182"/>
    </row>
    <row r="1105" spans="1:25" x14ac:dyDescent="0.2">
      <c r="A1105" s="1763"/>
      <c r="B1105" s="1763"/>
      <c r="C1105" s="1763"/>
      <c r="D1105" s="1763"/>
      <c r="E1105" s="1181"/>
      <c r="R1105" s="1182"/>
      <c r="S1105" s="1182"/>
      <c r="T1105" s="1182"/>
      <c r="U1105" s="1182"/>
      <c r="V1105" s="1182"/>
      <c r="W1105" s="1182"/>
      <c r="X1105" s="1182"/>
      <c r="Y1105" s="1182"/>
    </row>
    <row r="1106" spans="1:25" x14ac:dyDescent="0.2">
      <c r="A1106" s="1763"/>
      <c r="B1106" s="1763"/>
      <c r="C1106" s="1763"/>
      <c r="D1106" s="1763"/>
      <c r="E1106" s="1181"/>
      <c r="R1106" s="1182"/>
      <c r="S1106" s="1182"/>
      <c r="T1106" s="1182"/>
      <c r="U1106" s="1182"/>
      <c r="V1106" s="1182"/>
      <c r="W1106" s="1182"/>
      <c r="X1106" s="1182"/>
      <c r="Y1106" s="1182"/>
    </row>
    <row r="1107" spans="1:25" x14ac:dyDescent="0.2">
      <c r="A1107" s="1763"/>
      <c r="B1107" s="1763"/>
      <c r="C1107" s="1763"/>
      <c r="D1107" s="1763"/>
      <c r="E1107" s="1181"/>
      <c r="R1107" s="1182"/>
      <c r="S1107" s="1182"/>
      <c r="T1107" s="1182"/>
      <c r="U1107" s="1182"/>
      <c r="V1107" s="1182"/>
      <c r="W1107" s="1182"/>
      <c r="X1107" s="1182"/>
      <c r="Y1107" s="1182"/>
    </row>
    <row r="1108" spans="1:25" x14ac:dyDescent="0.2">
      <c r="A1108" s="1763"/>
      <c r="B1108" s="1763"/>
      <c r="C1108" s="1763"/>
      <c r="D1108" s="1763"/>
      <c r="E1108" s="1181"/>
      <c r="R1108" s="1182"/>
      <c r="S1108" s="1182"/>
      <c r="T1108" s="1182"/>
      <c r="U1108" s="1182"/>
      <c r="V1108" s="1182"/>
      <c r="W1108" s="1182"/>
      <c r="X1108" s="1182"/>
      <c r="Y1108" s="1182"/>
    </row>
    <row r="1109" spans="1:25" x14ac:dyDescent="0.2">
      <c r="A1109" s="1763"/>
      <c r="B1109" s="1763"/>
      <c r="C1109" s="1763"/>
      <c r="D1109" s="1763"/>
      <c r="E1109" s="1181"/>
      <c r="R1109" s="1182"/>
      <c r="S1109" s="1182"/>
      <c r="T1109" s="1182"/>
      <c r="U1109" s="1182"/>
      <c r="V1109" s="1182"/>
      <c r="W1109" s="1182"/>
      <c r="X1109" s="1182"/>
      <c r="Y1109" s="1182"/>
    </row>
    <row r="1110" spans="1:25" x14ac:dyDescent="0.2">
      <c r="A1110" s="1763"/>
      <c r="B1110" s="1763"/>
      <c r="C1110" s="1763"/>
      <c r="D1110" s="1763"/>
      <c r="E1110" s="1181"/>
      <c r="R1110" s="1182"/>
      <c r="S1110" s="1182"/>
      <c r="T1110" s="1182"/>
      <c r="U1110" s="1182"/>
      <c r="V1110" s="1182"/>
      <c r="W1110" s="1182"/>
      <c r="X1110" s="1182"/>
      <c r="Y1110" s="1182"/>
    </row>
    <row r="1111" spans="1:25" x14ac:dyDescent="0.2">
      <c r="A1111" s="1763"/>
      <c r="B1111" s="1763"/>
      <c r="C1111" s="1763"/>
      <c r="D1111" s="1763"/>
      <c r="E1111" s="1181"/>
      <c r="R1111" s="1182"/>
      <c r="S1111" s="1182"/>
      <c r="T1111" s="1182"/>
      <c r="U1111" s="1182"/>
      <c r="V1111" s="1182"/>
      <c r="W1111" s="1182"/>
      <c r="X1111" s="1182"/>
      <c r="Y1111" s="1182"/>
    </row>
    <row r="1112" spans="1:25" x14ac:dyDescent="0.2">
      <c r="A1112" s="1763"/>
      <c r="B1112" s="1763"/>
      <c r="C1112" s="1763"/>
      <c r="D1112" s="1763"/>
      <c r="E1112" s="1181"/>
      <c r="R1112" s="1182"/>
      <c r="S1112" s="1182"/>
      <c r="T1112" s="1182"/>
      <c r="U1112" s="1182"/>
      <c r="V1112" s="1182"/>
      <c r="W1112" s="1182"/>
      <c r="X1112" s="1182"/>
      <c r="Y1112" s="1182"/>
    </row>
    <row r="1113" spans="1:25" x14ac:dyDescent="0.2">
      <c r="A1113" s="1763"/>
      <c r="B1113" s="1763"/>
      <c r="C1113" s="1763"/>
      <c r="D1113" s="1763"/>
      <c r="E1113" s="1181"/>
      <c r="R1113" s="1182"/>
      <c r="S1113" s="1182"/>
      <c r="T1113" s="1182"/>
      <c r="U1113" s="1182"/>
      <c r="V1113" s="1182"/>
      <c r="W1113" s="1182"/>
      <c r="X1113" s="1182"/>
      <c r="Y1113" s="1182"/>
    </row>
    <row r="1114" spans="1:25" x14ac:dyDescent="0.2">
      <c r="A1114" s="1763"/>
      <c r="B1114" s="1763"/>
      <c r="C1114" s="1763"/>
      <c r="D1114" s="1763"/>
      <c r="E1114" s="1181"/>
      <c r="R1114" s="1182"/>
      <c r="S1114" s="1182"/>
      <c r="T1114" s="1182"/>
      <c r="U1114" s="1182"/>
      <c r="V1114" s="1182"/>
      <c r="W1114" s="1182"/>
      <c r="X1114" s="1182"/>
      <c r="Y1114" s="1182"/>
    </row>
    <row r="1115" spans="1:25" x14ac:dyDescent="0.2">
      <c r="A1115" s="1763"/>
      <c r="B1115" s="1763"/>
      <c r="C1115" s="1763"/>
      <c r="D1115" s="1763"/>
      <c r="E1115" s="1181"/>
      <c r="R1115" s="1182"/>
      <c r="S1115" s="1182"/>
      <c r="T1115" s="1182"/>
      <c r="U1115" s="1182"/>
      <c r="V1115" s="1182"/>
      <c r="W1115" s="1182"/>
      <c r="X1115" s="1182"/>
      <c r="Y1115" s="1182"/>
    </row>
    <row r="1116" spans="1:25" x14ac:dyDescent="0.2">
      <c r="A1116" s="1763"/>
      <c r="B1116" s="1763"/>
      <c r="C1116" s="1763"/>
      <c r="D1116" s="1763"/>
      <c r="E1116" s="1181"/>
      <c r="R1116" s="1182"/>
      <c r="S1116" s="1182"/>
      <c r="T1116" s="1182"/>
      <c r="U1116" s="1182"/>
      <c r="V1116" s="1182"/>
      <c r="W1116" s="1182"/>
      <c r="X1116" s="1182"/>
      <c r="Y1116" s="1182"/>
    </row>
    <row r="1117" spans="1:25" x14ac:dyDescent="0.2">
      <c r="A1117" s="1763"/>
      <c r="B1117" s="1763"/>
      <c r="C1117" s="1763"/>
      <c r="D1117" s="1763"/>
      <c r="E1117" s="1181"/>
      <c r="R1117" s="1182"/>
      <c r="S1117" s="1182"/>
      <c r="T1117" s="1182"/>
      <c r="U1117" s="1182"/>
      <c r="V1117" s="1182"/>
      <c r="W1117" s="1182"/>
      <c r="X1117" s="1182"/>
      <c r="Y1117" s="1182"/>
    </row>
    <row r="1118" spans="1:25" x14ac:dyDescent="0.2">
      <c r="A1118" s="1763"/>
      <c r="B1118" s="1763"/>
      <c r="C1118" s="1763"/>
      <c r="D1118" s="1763"/>
      <c r="E1118" s="1181"/>
      <c r="R1118" s="1182"/>
      <c r="S1118" s="1182"/>
      <c r="T1118" s="1182"/>
      <c r="U1118" s="1182"/>
      <c r="V1118" s="1182"/>
      <c r="W1118" s="1182"/>
      <c r="X1118" s="1182"/>
      <c r="Y1118" s="1182"/>
    </row>
    <row r="1119" spans="1:25" x14ac:dyDescent="0.2">
      <c r="A1119" s="1763"/>
      <c r="B1119" s="1763"/>
      <c r="C1119" s="1763"/>
      <c r="D1119" s="1763"/>
      <c r="E1119" s="1181"/>
      <c r="R1119" s="1182"/>
      <c r="S1119" s="1182"/>
      <c r="T1119" s="1182"/>
      <c r="U1119" s="1182"/>
      <c r="V1119" s="1182"/>
      <c r="W1119" s="1182"/>
      <c r="X1119" s="1182"/>
      <c r="Y1119" s="1182"/>
    </row>
    <row r="1120" spans="1:25" x14ac:dyDescent="0.2">
      <c r="A1120" s="1763"/>
      <c r="B1120" s="1763"/>
      <c r="C1120" s="1763"/>
      <c r="D1120" s="1763"/>
      <c r="E1120" s="1181"/>
      <c r="R1120" s="1182"/>
      <c r="S1120" s="1182"/>
      <c r="T1120" s="1182"/>
      <c r="U1120" s="1182"/>
      <c r="V1120" s="1182"/>
      <c r="W1120" s="1182"/>
      <c r="X1120" s="1182"/>
      <c r="Y1120" s="1182"/>
    </row>
    <row r="1121" spans="1:25" x14ac:dyDescent="0.2">
      <c r="A1121" s="1763"/>
      <c r="B1121" s="1763"/>
      <c r="C1121" s="1763"/>
      <c r="D1121" s="1763"/>
      <c r="E1121" s="1181"/>
      <c r="R1121" s="1182"/>
      <c r="S1121" s="1182"/>
      <c r="T1121" s="1182"/>
      <c r="U1121" s="1182"/>
      <c r="V1121" s="1182"/>
      <c r="W1121" s="1182"/>
      <c r="X1121" s="1182"/>
      <c r="Y1121" s="1182"/>
    </row>
    <row r="1122" spans="1:25" x14ac:dyDescent="0.2">
      <c r="A1122" s="1763"/>
      <c r="B1122" s="1763"/>
      <c r="C1122" s="1763"/>
      <c r="D1122" s="1763"/>
      <c r="E1122" s="1181"/>
      <c r="R1122" s="1182"/>
      <c r="S1122" s="1182"/>
      <c r="T1122" s="1182"/>
      <c r="U1122" s="1182"/>
      <c r="V1122" s="1182"/>
      <c r="W1122" s="1182"/>
      <c r="X1122" s="1182"/>
      <c r="Y1122" s="1182"/>
    </row>
    <row r="1123" spans="1:25" x14ac:dyDescent="0.2">
      <c r="A1123" s="1763"/>
      <c r="B1123" s="1763"/>
      <c r="C1123" s="1763"/>
      <c r="D1123" s="1763"/>
      <c r="E1123" s="1181"/>
      <c r="R1123" s="1182"/>
      <c r="S1123" s="1182"/>
      <c r="T1123" s="1182"/>
      <c r="U1123" s="1182"/>
      <c r="V1123" s="1182"/>
      <c r="W1123" s="1182"/>
      <c r="X1123" s="1182"/>
      <c r="Y1123" s="1182"/>
    </row>
    <row r="1124" spans="1:25" x14ac:dyDescent="0.2">
      <c r="A1124" s="1763"/>
      <c r="B1124" s="1763"/>
      <c r="C1124" s="1763"/>
      <c r="D1124" s="1763"/>
      <c r="E1124" s="1181"/>
      <c r="R1124" s="1182"/>
      <c r="S1124" s="1182"/>
      <c r="T1124" s="1182"/>
      <c r="U1124" s="1182"/>
      <c r="V1124" s="1182"/>
      <c r="W1124" s="1182"/>
      <c r="X1124" s="1182"/>
      <c r="Y1124" s="1182"/>
    </row>
    <row r="1125" spans="1:25" x14ac:dyDescent="0.2">
      <c r="A1125" s="1763"/>
      <c r="B1125" s="1763"/>
      <c r="C1125" s="1763"/>
      <c r="D1125" s="1763"/>
      <c r="E1125" s="1181"/>
      <c r="R1125" s="1182"/>
      <c r="S1125" s="1182"/>
      <c r="T1125" s="1182"/>
      <c r="U1125" s="1182"/>
      <c r="V1125" s="1182"/>
      <c r="W1125" s="1182"/>
      <c r="X1125" s="1182"/>
      <c r="Y1125" s="1182"/>
    </row>
    <row r="1126" spans="1:25" x14ac:dyDescent="0.2">
      <c r="A1126" s="1763"/>
      <c r="B1126" s="1763"/>
      <c r="C1126" s="1763"/>
      <c r="D1126" s="1763"/>
      <c r="E1126" s="1181"/>
      <c r="R1126" s="1182"/>
      <c r="S1126" s="1182"/>
      <c r="T1126" s="1182"/>
      <c r="U1126" s="1182"/>
      <c r="V1126" s="1182"/>
      <c r="W1126" s="1182"/>
      <c r="X1126" s="1182"/>
      <c r="Y1126" s="1182"/>
    </row>
    <row r="1127" spans="1:25" x14ac:dyDescent="0.2">
      <c r="A1127" s="1763"/>
      <c r="B1127" s="1763"/>
      <c r="C1127" s="1763"/>
      <c r="D1127" s="1763"/>
      <c r="E1127" s="1181"/>
      <c r="R1127" s="1182"/>
      <c r="S1127" s="1182"/>
      <c r="T1127" s="1182"/>
      <c r="U1127" s="1182"/>
      <c r="V1127" s="1182"/>
      <c r="W1127" s="1182"/>
      <c r="X1127" s="1182"/>
      <c r="Y1127" s="1182"/>
    </row>
    <row r="1128" spans="1:25" x14ac:dyDescent="0.2">
      <c r="A1128" s="1763"/>
      <c r="B1128" s="1763"/>
      <c r="C1128" s="1763"/>
      <c r="D1128" s="1763"/>
      <c r="E1128" s="1181"/>
      <c r="R1128" s="1182"/>
      <c r="S1128" s="1182"/>
      <c r="T1128" s="1182"/>
      <c r="U1128" s="1182"/>
      <c r="V1128" s="1182"/>
      <c r="W1128" s="1182"/>
      <c r="X1128" s="1182"/>
      <c r="Y1128" s="1182"/>
    </row>
    <row r="1129" spans="1:25" x14ac:dyDescent="0.2">
      <c r="A1129" s="1763"/>
      <c r="B1129" s="1763"/>
      <c r="C1129" s="1763"/>
      <c r="D1129" s="1763"/>
      <c r="E1129" s="1181"/>
      <c r="R1129" s="1182"/>
      <c r="S1129" s="1182"/>
      <c r="T1129" s="1182"/>
      <c r="U1129" s="1182"/>
      <c r="V1129" s="1182"/>
      <c r="W1129" s="1182"/>
      <c r="X1129" s="1182"/>
      <c r="Y1129" s="1182"/>
    </row>
    <row r="1130" spans="1:25" x14ac:dyDescent="0.2">
      <c r="A1130" s="1763"/>
      <c r="B1130" s="1763"/>
      <c r="C1130" s="1763"/>
      <c r="D1130" s="1763"/>
      <c r="E1130" s="1181"/>
      <c r="R1130" s="1182"/>
      <c r="S1130" s="1182"/>
      <c r="T1130" s="1182"/>
      <c r="U1130" s="1182"/>
      <c r="V1130" s="1182"/>
      <c r="W1130" s="1182"/>
      <c r="X1130" s="1182"/>
      <c r="Y1130" s="1182"/>
    </row>
    <row r="1131" spans="1:25" x14ac:dyDescent="0.2">
      <c r="A1131" s="1763"/>
      <c r="B1131" s="1763"/>
      <c r="C1131" s="1763"/>
      <c r="D1131" s="1763"/>
      <c r="E1131" s="1181"/>
      <c r="R1131" s="1182"/>
      <c r="S1131" s="1182"/>
      <c r="T1131" s="1182"/>
      <c r="U1131" s="1182"/>
      <c r="V1131" s="1182"/>
      <c r="W1131" s="1182"/>
      <c r="X1131" s="1182"/>
      <c r="Y1131" s="1182"/>
    </row>
    <row r="1132" spans="1:25" x14ac:dyDescent="0.2">
      <c r="A1132" s="1763"/>
      <c r="B1132" s="1763"/>
      <c r="C1132" s="1763"/>
      <c r="D1132" s="1763"/>
      <c r="E1132" s="1181"/>
      <c r="R1132" s="1182"/>
      <c r="S1132" s="1182"/>
      <c r="T1132" s="1182"/>
      <c r="U1132" s="1182"/>
      <c r="V1132" s="1182"/>
      <c r="W1132" s="1182"/>
      <c r="X1132" s="1182"/>
      <c r="Y1132" s="1182"/>
    </row>
    <row r="1133" spans="1:25" x14ac:dyDescent="0.2">
      <c r="A1133" s="1763"/>
      <c r="B1133" s="1763"/>
      <c r="C1133" s="1763"/>
      <c r="D1133" s="1763"/>
      <c r="E1133" s="1181"/>
      <c r="R1133" s="1182"/>
      <c r="S1133" s="1182"/>
      <c r="T1133" s="1182"/>
      <c r="U1133" s="1182"/>
      <c r="V1133" s="1182"/>
      <c r="W1133" s="1182"/>
      <c r="X1133" s="1182"/>
      <c r="Y1133" s="1182"/>
    </row>
    <row r="1134" spans="1:25" x14ac:dyDescent="0.2">
      <c r="A1134" s="1763"/>
      <c r="B1134" s="1763"/>
      <c r="C1134" s="1763"/>
      <c r="D1134" s="1763"/>
      <c r="E1134" s="1181"/>
      <c r="R1134" s="1182"/>
      <c r="S1134" s="1182"/>
      <c r="T1134" s="1182"/>
      <c r="U1134" s="1182"/>
      <c r="V1134" s="1182"/>
      <c r="W1134" s="1182"/>
      <c r="X1134" s="1182"/>
      <c r="Y1134" s="1182"/>
    </row>
    <row r="1135" spans="1:25" x14ac:dyDescent="0.2">
      <c r="A1135" s="1763"/>
      <c r="B1135" s="1763"/>
      <c r="C1135" s="1763"/>
      <c r="D1135" s="1763"/>
      <c r="E1135" s="1181"/>
      <c r="R1135" s="1182"/>
      <c r="S1135" s="1182"/>
      <c r="T1135" s="1182"/>
      <c r="U1135" s="1182"/>
      <c r="V1135" s="1182"/>
      <c r="W1135" s="1182"/>
      <c r="X1135" s="1182"/>
      <c r="Y1135" s="1182"/>
    </row>
    <row r="1136" spans="1:25" x14ac:dyDescent="0.2">
      <c r="A1136" s="1763"/>
      <c r="B1136" s="1763"/>
      <c r="C1136" s="1763"/>
      <c r="D1136" s="1763"/>
      <c r="E1136" s="1181"/>
      <c r="R1136" s="1182"/>
      <c r="S1136" s="1182"/>
      <c r="T1136" s="1182"/>
      <c r="U1136" s="1182"/>
      <c r="V1136" s="1182"/>
      <c r="W1136" s="1182"/>
      <c r="X1136" s="1182"/>
      <c r="Y1136" s="1182"/>
    </row>
    <row r="1137" spans="1:25" x14ac:dyDescent="0.2">
      <c r="A1137" s="1763"/>
      <c r="B1137" s="1763"/>
      <c r="C1137" s="1763"/>
      <c r="D1137" s="1763"/>
      <c r="E1137" s="1181"/>
      <c r="R1137" s="1182"/>
      <c r="S1137" s="1182"/>
      <c r="T1137" s="1182"/>
      <c r="U1137" s="1182"/>
      <c r="V1137" s="1182"/>
      <c r="W1137" s="1182"/>
      <c r="X1137" s="1182"/>
      <c r="Y1137" s="1182"/>
    </row>
    <row r="1138" spans="1:25" x14ac:dyDescent="0.2">
      <c r="A1138" s="1763"/>
      <c r="B1138" s="1763"/>
      <c r="C1138" s="1763"/>
      <c r="D1138" s="1763"/>
      <c r="E1138" s="1181"/>
      <c r="R1138" s="1182"/>
      <c r="S1138" s="1182"/>
      <c r="T1138" s="1182"/>
      <c r="U1138" s="1182"/>
      <c r="V1138" s="1182"/>
      <c r="W1138" s="1182"/>
      <c r="X1138" s="1182"/>
      <c r="Y1138" s="1182"/>
    </row>
    <row r="1139" spans="1:25" x14ac:dyDescent="0.2">
      <c r="A1139" s="1763"/>
      <c r="B1139" s="1763"/>
      <c r="C1139" s="1763"/>
      <c r="D1139" s="1763"/>
      <c r="E1139" s="1181"/>
      <c r="R1139" s="1182"/>
      <c r="S1139" s="1182"/>
      <c r="T1139" s="1182"/>
      <c r="U1139" s="1182"/>
      <c r="V1139" s="1182"/>
      <c r="W1139" s="1182"/>
      <c r="X1139" s="1182"/>
      <c r="Y1139" s="1182"/>
    </row>
    <row r="1140" spans="1:25" x14ac:dyDescent="0.2">
      <c r="A1140" s="1763"/>
      <c r="B1140" s="1763"/>
      <c r="C1140" s="1763"/>
      <c r="D1140" s="1763"/>
      <c r="E1140" s="1181"/>
      <c r="R1140" s="1182"/>
      <c r="S1140" s="1182"/>
      <c r="T1140" s="1182"/>
      <c r="U1140" s="1182"/>
      <c r="V1140" s="1182"/>
      <c r="W1140" s="1182"/>
      <c r="X1140" s="1182"/>
      <c r="Y1140" s="1182"/>
    </row>
    <row r="1141" spans="1:25" x14ac:dyDescent="0.2">
      <c r="A1141" s="1763"/>
      <c r="B1141" s="1763"/>
      <c r="C1141" s="1763"/>
      <c r="D1141" s="1763"/>
      <c r="E1141" s="1181"/>
      <c r="R1141" s="1182"/>
      <c r="S1141" s="1182"/>
      <c r="T1141" s="1182"/>
      <c r="U1141" s="1182"/>
      <c r="V1141" s="1182"/>
      <c r="W1141" s="1182"/>
      <c r="X1141" s="1182"/>
      <c r="Y1141" s="1182"/>
    </row>
    <row r="1142" spans="1:25" x14ac:dyDescent="0.2">
      <c r="A1142" s="1763"/>
      <c r="B1142" s="1763"/>
      <c r="C1142" s="1763"/>
      <c r="D1142" s="1763"/>
      <c r="E1142" s="1181"/>
      <c r="R1142" s="1182"/>
      <c r="S1142" s="1182"/>
      <c r="T1142" s="1182"/>
      <c r="U1142" s="1182"/>
      <c r="V1142" s="1182"/>
      <c r="W1142" s="1182"/>
      <c r="X1142" s="1182"/>
      <c r="Y1142" s="1182"/>
    </row>
    <row r="1143" spans="1:25" x14ac:dyDescent="0.2">
      <c r="A1143" s="1763"/>
      <c r="B1143" s="1763"/>
      <c r="C1143" s="1763"/>
      <c r="D1143" s="1763"/>
      <c r="E1143" s="1181"/>
      <c r="R1143" s="1182"/>
      <c r="S1143" s="1182"/>
      <c r="T1143" s="1182"/>
      <c r="U1143" s="1182"/>
      <c r="V1143" s="1182"/>
      <c r="W1143" s="1182"/>
      <c r="X1143" s="1182"/>
      <c r="Y1143" s="1182"/>
    </row>
    <row r="1144" spans="1:25" x14ac:dyDescent="0.2">
      <c r="A1144" s="1763"/>
      <c r="B1144" s="1763"/>
      <c r="C1144" s="1763"/>
      <c r="D1144" s="1763"/>
      <c r="E1144" s="1181"/>
      <c r="R1144" s="1182"/>
      <c r="S1144" s="1182"/>
      <c r="T1144" s="1182"/>
      <c r="U1144" s="1182"/>
      <c r="V1144" s="1182"/>
      <c r="W1144" s="1182"/>
      <c r="X1144" s="1182"/>
      <c r="Y1144" s="1182"/>
    </row>
    <row r="1145" spans="1:25" x14ac:dyDescent="0.2">
      <c r="A1145" s="1763"/>
      <c r="B1145" s="1763"/>
      <c r="C1145" s="1763"/>
      <c r="D1145" s="1763"/>
      <c r="E1145" s="1181"/>
      <c r="R1145" s="1182"/>
      <c r="S1145" s="1182"/>
      <c r="T1145" s="1182"/>
      <c r="U1145" s="1182"/>
      <c r="V1145" s="1182"/>
      <c r="W1145" s="1182"/>
      <c r="X1145" s="1182"/>
      <c r="Y1145" s="1182"/>
    </row>
    <row r="1146" spans="1:25" x14ac:dyDescent="0.2">
      <c r="A1146" s="1763"/>
      <c r="B1146" s="1763"/>
      <c r="C1146" s="1763"/>
      <c r="D1146" s="1763"/>
      <c r="E1146" s="1181"/>
      <c r="R1146" s="1182"/>
      <c r="S1146" s="1182"/>
      <c r="T1146" s="1182"/>
      <c r="U1146" s="1182"/>
      <c r="V1146" s="1182"/>
      <c r="W1146" s="1182"/>
      <c r="X1146" s="1182"/>
      <c r="Y1146" s="1182"/>
    </row>
    <row r="1147" spans="1:25" x14ac:dyDescent="0.2">
      <c r="A1147" s="1763"/>
      <c r="B1147" s="1763"/>
      <c r="C1147" s="1763"/>
      <c r="D1147" s="1763"/>
      <c r="E1147" s="1181"/>
      <c r="R1147" s="1182"/>
      <c r="S1147" s="1182"/>
      <c r="T1147" s="1182"/>
      <c r="U1147" s="1182"/>
      <c r="V1147" s="1182"/>
      <c r="W1147" s="1182"/>
      <c r="X1147" s="1182"/>
      <c r="Y1147" s="1182"/>
    </row>
    <row r="1148" spans="1:25" x14ac:dyDescent="0.2">
      <c r="A1148" s="1763"/>
      <c r="B1148" s="1763"/>
      <c r="C1148" s="1763"/>
      <c r="D1148" s="1763"/>
      <c r="E1148" s="1181"/>
      <c r="R1148" s="1182"/>
      <c r="S1148" s="1182"/>
      <c r="T1148" s="1182"/>
      <c r="U1148" s="1182"/>
      <c r="V1148" s="1182"/>
      <c r="W1148" s="1182"/>
      <c r="X1148" s="1182"/>
      <c r="Y1148" s="1182"/>
    </row>
    <row r="1149" spans="1:25" x14ac:dyDescent="0.2">
      <c r="A1149" s="1763"/>
      <c r="B1149" s="1763"/>
      <c r="C1149" s="1763"/>
      <c r="D1149" s="1763"/>
      <c r="E1149" s="1181"/>
      <c r="R1149" s="1182"/>
      <c r="S1149" s="1182"/>
      <c r="T1149" s="1182"/>
      <c r="U1149" s="1182"/>
      <c r="V1149" s="1182"/>
      <c r="W1149" s="1182"/>
      <c r="X1149" s="1182"/>
      <c r="Y1149" s="1182"/>
    </row>
    <row r="1150" spans="1:25" x14ac:dyDescent="0.2">
      <c r="A1150" s="1763"/>
      <c r="B1150" s="1763"/>
      <c r="C1150" s="1763"/>
      <c r="D1150" s="1763"/>
      <c r="E1150" s="1181"/>
      <c r="R1150" s="1182"/>
      <c r="S1150" s="1182"/>
      <c r="T1150" s="1182"/>
      <c r="U1150" s="1182"/>
      <c r="V1150" s="1182"/>
      <c r="W1150" s="1182"/>
      <c r="X1150" s="1182"/>
      <c r="Y1150" s="1182"/>
    </row>
    <row r="1151" spans="1:25" x14ac:dyDescent="0.2">
      <c r="A1151" s="1763"/>
      <c r="B1151" s="1763"/>
      <c r="C1151" s="1763"/>
      <c r="D1151" s="1763"/>
      <c r="E1151" s="1181"/>
      <c r="R1151" s="1182"/>
      <c r="S1151" s="1182"/>
      <c r="T1151" s="1182"/>
      <c r="U1151" s="1182"/>
      <c r="V1151" s="1182"/>
      <c r="W1151" s="1182"/>
      <c r="X1151" s="1182"/>
      <c r="Y1151" s="1182"/>
    </row>
    <row r="1152" spans="1:25" x14ac:dyDescent="0.2">
      <c r="A1152" s="1763"/>
      <c r="B1152" s="1763"/>
      <c r="C1152" s="1763"/>
      <c r="D1152" s="1763"/>
      <c r="E1152" s="1181"/>
      <c r="R1152" s="1182"/>
      <c r="S1152" s="1182"/>
      <c r="T1152" s="1182"/>
      <c r="U1152" s="1182"/>
      <c r="V1152" s="1182"/>
      <c r="W1152" s="1182"/>
      <c r="X1152" s="1182"/>
      <c r="Y1152" s="1182"/>
    </row>
    <row r="1153" spans="1:25" x14ac:dyDescent="0.2">
      <c r="A1153" s="1763"/>
      <c r="B1153" s="1763"/>
      <c r="C1153" s="1763"/>
      <c r="D1153" s="1763"/>
      <c r="E1153" s="1181"/>
      <c r="R1153" s="1182"/>
      <c r="S1153" s="1182"/>
      <c r="T1153" s="1182"/>
      <c r="U1153" s="1182"/>
      <c r="V1153" s="1182"/>
      <c r="W1153" s="1182"/>
      <c r="X1153" s="1182"/>
      <c r="Y1153" s="1182"/>
    </row>
    <row r="1154" spans="1:25" x14ac:dyDescent="0.2">
      <c r="A1154" s="1763"/>
      <c r="B1154" s="1763"/>
      <c r="C1154" s="1763"/>
      <c r="D1154" s="1763"/>
      <c r="E1154" s="1181"/>
      <c r="R1154" s="1182"/>
      <c r="S1154" s="1182"/>
      <c r="T1154" s="1182"/>
      <c r="U1154" s="1182"/>
      <c r="V1154" s="1182"/>
      <c r="W1154" s="1182"/>
      <c r="X1154" s="1182"/>
      <c r="Y1154" s="1182"/>
    </row>
    <row r="1155" spans="1:25" x14ac:dyDescent="0.2">
      <c r="A1155" s="1763"/>
      <c r="B1155" s="1763"/>
      <c r="C1155" s="1763"/>
      <c r="D1155" s="1763"/>
      <c r="E1155" s="1181"/>
      <c r="R1155" s="1182"/>
      <c r="S1155" s="1182"/>
      <c r="T1155" s="1182"/>
      <c r="U1155" s="1182"/>
      <c r="V1155" s="1182"/>
      <c r="W1155" s="1182"/>
      <c r="X1155" s="1182"/>
      <c r="Y1155" s="1182"/>
    </row>
    <row r="1156" spans="1:25" x14ac:dyDescent="0.2">
      <c r="A1156" s="1763"/>
      <c r="B1156" s="1763"/>
      <c r="C1156" s="1763"/>
      <c r="D1156" s="1763"/>
      <c r="E1156" s="1181"/>
      <c r="R1156" s="1182"/>
      <c r="S1156" s="1182"/>
      <c r="T1156" s="1182"/>
      <c r="U1156" s="1182"/>
      <c r="V1156" s="1182"/>
      <c r="W1156" s="1182"/>
      <c r="X1156" s="1182"/>
      <c r="Y1156" s="1182"/>
    </row>
    <row r="1157" spans="1:25" x14ac:dyDescent="0.2">
      <c r="A1157" s="1763"/>
      <c r="B1157" s="1763"/>
      <c r="C1157" s="1763"/>
      <c r="D1157" s="1763"/>
      <c r="E1157" s="1181"/>
      <c r="R1157" s="1182"/>
      <c r="S1157" s="1182"/>
      <c r="T1157" s="1182"/>
      <c r="U1157" s="1182"/>
      <c r="V1157" s="1182"/>
      <c r="W1157" s="1182"/>
      <c r="X1157" s="1182"/>
      <c r="Y1157" s="1182"/>
    </row>
    <row r="1158" spans="1:25" x14ac:dyDescent="0.2">
      <c r="A1158" s="1763"/>
      <c r="B1158" s="1763"/>
      <c r="C1158" s="1763"/>
      <c r="D1158" s="1763"/>
      <c r="E1158" s="1181"/>
      <c r="R1158" s="1182"/>
      <c r="S1158" s="1182"/>
      <c r="T1158" s="1182"/>
      <c r="U1158" s="1182"/>
      <c r="V1158" s="1182"/>
      <c r="W1158" s="1182"/>
      <c r="X1158" s="1182"/>
      <c r="Y1158" s="1182"/>
    </row>
    <row r="1159" spans="1:25" x14ac:dyDescent="0.2">
      <c r="A1159" s="1763"/>
      <c r="B1159" s="1763"/>
      <c r="C1159" s="1763"/>
      <c r="D1159" s="1763"/>
      <c r="E1159" s="1181"/>
      <c r="R1159" s="1182"/>
      <c r="S1159" s="1182"/>
      <c r="T1159" s="1182"/>
      <c r="U1159" s="1182"/>
      <c r="V1159" s="1182"/>
      <c r="W1159" s="1182"/>
      <c r="X1159" s="1182"/>
      <c r="Y1159" s="1182"/>
    </row>
    <row r="1160" spans="1:25" x14ac:dyDescent="0.2">
      <c r="A1160" s="1763"/>
      <c r="B1160" s="1763"/>
      <c r="C1160" s="1763"/>
      <c r="D1160" s="1763"/>
      <c r="E1160" s="1181"/>
      <c r="R1160" s="1182"/>
      <c r="S1160" s="1182"/>
      <c r="T1160" s="1182"/>
      <c r="U1160" s="1182"/>
      <c r="V1160" s="1182"/>
      <c r="W1160" s="1182"/>
      <c r="X1160" s="1182"/>
      <c r="Y1160" s="1182"/>
    </row>
    <row r="1161" spans="1:25" x14ac:dyDescent="0.2">
      <c r="A1161" s="1763"/>
      <c r="B1161" s="1763"/>
      <c r="C1161" s="1763"/>
      <c r="D1161" s="1763"/>
      <c r="E1161" s="1181"/>
      <c r="R1161" s="1182"/>
      <c r="S1161" s="1182"/>
      <c r="T1161" s="1182"/>
      <c r="U1161" s="1182"/>
      <c r="V1161" s="1182"/>
      <c r="W1161" s="1182"/>
      <c r="X1161" s="1182"/>
      <c r="Y1161" s="1182"/>
    </row>
    <row r="1162" spans="1:25" x14ac:dyDescent="0.2">
      <c r="A1162" s="1763"/>
      <c r="B1162" s="1763"/>
      <c r="C1162" s="1763"/>
      <c r="D1162" s="1763"/>
      <c r="E1162" s="1181"/>
      <c r="R1162" s="1182"/>
      <c r="S1162" s="1182"/>
      <c r="T1162" s="1182"/>
      <c r="U1162" s="1182"/>
      <c r="V1162" s="1182"/>
      <c r="W1162" s="1182"/>
      <c r="X1162" s="1182"/>
      <c r="Y1162" s="1182"/>
    </row>
    <row r="1163" spans="1:25" x14ac:dyDescent="0.2">
      <c r="A1163" s="1763"/>
      <c r="B1163" s="1763"/>
      <c r="C1163" s="1763"/>
      <c r="D1163" s="1763"/>
      <c r="E1163" s="1181"/>
      <c r="R1163" s="1182"/>
      <c r="S1163" s="1182"/>
      <c r="T1163" s="1182"/>
      <c r="U1163" s="1182"/>
      <c r="V1163" s="1182"/>
      <c r="W1163" s="1182"/>
      <c r="X1163" s="1182"/>
      <c r="Y1163" s="1182"/>
    </row>
    <row r="1164" spans="1:25" x14ac:dyDescent="0.2">
      <c r="A1164" s="1763"/>
      <c r="B1164" s="1763"/>
      <c r="C1164" s="1763"/>
      <c r="D1164" s="1763"/>
      <c r="E1164" s="1181"/>
      <c r="R1164" s="1182"/>
      <c r="S1164" s="1182"/>
      <c r="T1164" s="1182"/>
      <c r="U1164" s="1182"/>
      <c r="V1164" s="1182"/>
      <c r="W1164" s="1182"/>
      <c r="X1164" s="1182"/>
      <c r="Y1164" s="1182"/>
    </row>
    <row r="1165" spans="1:25" x14ac:dyDescent="0.2">
      <c r="A1165" s="1763"/>
      <c r="B1165" s="1763"/>
      <c r="C1165" s="1763"/>
      <c r="D1165" s="1763"/>
      <c r="E1165" s="1181"/>
      <c r="R1165" s="1182"/>
      <c r="S1165" s="1182"/>
      <c r="T1165" s="1182"/>
      <c r="U1165" s="1182"/>
      <c r="V1165" s="1182"/>
      <c r="W1165" s="1182"/>
      <c r="X1165" s="1182"/>
      <c r="Y1165" s="1182"/>
    </row>
    <row r="1166" spans="1:25" x14ac:dyDescent="0.2">
      <c r="A1166" s="1763"/>
      <c r="B1166" s="1763"/>
      <c r="C1166" s="1763"/>
      <c r="D1166" s="1763"/>
      <c r="E1166" s="1181"/>
      <c r="R1166" s="1182"/>
      <c r="S1166" s="1182"/>
      <c r="T1166" s="1182"/>
      <c r="U1166" s="1182"/>
      <c r="V1166" s="1182"/>
      <c r="W1166" s="1182"/>
      <c r="X1166" s="1182"/>
      <c r="Y1166" s="1182"/>
    </row>
    <row r="1167" spans="1:25" x14ac:dyDescent="0.2">
      <c r="A1167" s="1763"/>
      <c r="B1167" s="1763"/>
      <c r="C1167" s="1763"/>
      <c r="D1167" s="1763"/>
      <c r="E1167" s="1181"/>
      <c r="R1167" s="1182"/>
      <c r="S1167" s="1182"/>
      <c r="T1167" s="1182"/>
      <c r="U1167" s="1182"/>
      <c r="V1167" s="1182"/>
      <c r="W1167" s="1182"/>
      <c r="X1167" s="1182"/>
      <c r="Y1167" s="1182"/>
    </row>
    <row r="1168" spans="1:25" x14ac:dyDescent="0.2">
      <c r="A1168" s="1763"/>
      <c r="B1168" s="1763"/>
      <c r="C1168" s="1763"/>
      <c r="D1168" s="1763"/>
      <c r="E1168" s="1181"/>
      <c r="R1168" s="1182"/>
      <c r="S1168" s="1182"/>
      <c r="T1168" s="1182"/>
      <c r="U1168" s="1182"/>
      <c r="V1168" s="1182"/>
      <c r="W1168" s="1182"/>
      <c r="X1168" s="1182"/>
      <c r="Y1168" s="1182"/>
    </row>
    <row r="1169" spans="1:25" x14ac:dyDescent="0.2">
      <c r="A1169" s="1763"/>
      <c r="B1169" s="1763"/>
      <c r="C1169" s="1763"/>
      <c r="D1169" s="1763"/>
      <c r="E1169" s="1181"/>
      <c r="R1169" s="1182"/>
      <c r="S1169" s="1182"/>
      <c r="T1169" s="1182"/>
      <c r="U1169" s="1182"/>
      <c r="V1169" s="1182"/>
      <c r="W1169" s="1182"/>
      <c r="X1169" s="1182"/>
      <c r="Y1169" s="1182"/>
    </row>
    <row r="1170" spans="1:25" x14ac:dyDescent="0.2">
      <c r="A1170" s="1763"/>
      <c r="B1170" s="1763"/>
      <c r="C1170" s="1763"/>
      <c r="D1170" s="1763"/>
      <c r="E1170" s="1181"/>
      <c r="R1170" s="1182"/>
      <c r="S1170" s="1182"/>
      <c r="T1170" s="1182"/>
      <c r="U1170" s="1182"/>
      <c r="V1170" s="1182"/>
      <c r="W1170" s="1182"/>
      <c r="X1170" s="1182"/>
      <c r="Y1170" s="1182"/>
    </row>
    <row r="1171" spans="1:25" x14ac:dyDescent="0.2">
      <c r="A1171" s="1763"/>
      <c r="B1171" s="1763"/>
      <c r="C1171" s="1763"/>
      <c r="D1171" s="1763"/>
      <c r="E1171" s="1181"/>
      <c r="R1171" s="1182"/>
      <c r="S1171" s="1182"/>
      <c r="T1171" s="1182"/>
      <c r="U1171" s="1182"/>
      <c r="V1171" s="1182"/>
      <c r="W1171" s="1182"/>
      <c r="X1171" s="1182"/>
      <c r="Y1171" s="1182"/>
    </row>
    <row r="1172" spans="1:25" x14ac:dyDescent="0.2">
      <c r="A1172" s="1763"/>
      <c r="B1172" s="1763"/>
      <c r="C1172" s="1763"/>
      <c r="D1172" s="1763"/>
      <c r="E1172" s="1181"/>
      <c r="R1172" s="1182"/>
      <c r="S1172" s="1182"/>
      <c r="T1172" s="1182"/>
      <c r="U1172" s="1182"/>
      <c r="V1172" s="1182"/>
      <c r="W1172" s="1182"/>
      <c r="X1172" s="1182"/>
      <c r="Y1172" s="1182"/>
    </row>
    <row r="1173" spans="1:25" x14ac:dyDescent="0.2">
      <c r="A1173" s="1763"/>
      <c r="B1173" s="1763"/>
      <c r="C1173" s="1763"/>
      <c r="D1173" s="1763"/>
      <c r="E1173" s="1181"/>
      <c r="R1173" s="1182"/>
      <c r="S1173" s="1182"/>
      <c r="T1173" s="1182"/>
      <c r="U1173" s="1182"/>
      <c r="V1173" s="1182"/>
      <c r="W1173" s="1182"/>
      <c r="X1173" s="1182"/>
      <c r="Y1173" s="1182"/>
    </row>
    <row r="1174" spans="1:25" x14ac:dyDescent="0.2">
      <c r="A1174" s="1763"/>
      <c r="B1174" s="1763"/>
      <c r="C1174" s="1763"/>
      <c r="D1174" s="1763"/>
      <c r="E1174" s="1181"/>
      <c r="R1174" s="1182"/>
      <c r="S1174" s="1182"/>
      <c r="T1174" s="1182"/>
      <c r="U1174" s="1182"/>
      <c r="V1174" s="1182"/>
      <c r="W1174" s="1182"/>
      <c r="X1174" s="1182"/>
      <c r="Y1174" s="1182"/>
    </row>
    <row r="1175" spans="1:25" x14ac:dyDescent="0.2">
      <c r="A1175" s="1763"/>
      <c r="B1175" s="1763"/>
      <c r="C1175" s="1763"/>
      <c r="D1175" s="1763"/>
      <c r="E1175" s="1181"/>
      <c r="R1175" s="1182"/>
      <c r="S1175" s="1182"/>
      <c r="T1175" s="1182"/>
      <c r="U1175" s="1182"/>
      <c r="V1175" s="1182"/>
      <c r="W1175" s="1182"/>
      <c r="X1175" s="1182"/>
      <c r="Y1175" s="1182"/>
    </row>
    <row r="1176" spans="1:25" x14ac:dyDescent="0.2">
      <c r="A1176" s="1763"/>
      <c r="B1176" s="1763"/>
      <c r="C1176" s="1763"/>
      <c r="D1176" s="1763"/>
      <c r="E1176" s="1181"/>
      <c r="R1176" s="1182"/>
      <c r="S1176" s="1182"/>
      <c r="T1176" s="1182"/>
      <c r="U1176" s="1182"/>
      <c r="V1176" s="1182"/>
      <c r="W1176" s="1182"/>
      <c r="X1176" s="1182"/>
      <c r="Y1176" s="1182"/>
    </row>
    <row r="1177" spans="1:25" x14ac:dyDescent="0.2">
      <c r="A1177" s="1763"/>
      <c r="B1177" s="1763"/>
      <c r="C1177" s="1763"/>
      <c r="D1177" s="1763"/>
      <c r="E1177" s="1181"/>
      <c r="R1177" s="1182"/>
      <c r="S1177" s="1182"/>
      <c r="T1177" s="1182"/>
      <c r="U1177" s="1182"/>
      <c r="V1177" s="1182"/>
      <c r="W1177" s="1182"/>
      <c r="X1177" s="1182"/>
      <c r="Y1177" s="1182"/>
    </row>
    <row r="1178" spans="1:25" x14ac:dyDescent="0.2">
      <c r="A1178" s="1763"/>
      <c r="B1178" s="1763"/>
      <c r="C1178" s="1763"/>
      <c r="D1178" s="1763"/>
      <c r="E1178" s="1181"/>
      <c r="R1178" s="1182"/>
      <c r="S1178" s="1182"/>
      <c r="T1178" s="1182"/>
      <c r="U1178" s="1182"/>
      <c r="V1178" s="1182"/>
      <c r="W1178" s="1182"/>
      <c r="X1178" s="1182"/>
      <c r="Y1178" s="1182"/>
    </row>
    <row r="1179" spans="1:25" x14ac:dyDescent="0.2">
      <c r="A1179" s="1763"/>
      <c r="B1179" s="1763"/>
      <c r="C1179" s="1763"/>
      <c r="D1179" s="1763"/>
      <c r="E1179" s="1181"/>
      <c r="R1179" s="1182"/>
      <c r="S1179" s="1182"/>
      <c r="T1179" s="1182"/>
      <c r="U1179" s="1182"/>
      <c r="V1179" s="1182"/>
      <c r="W1179" s="1182"/>
      <c r="X1179" s="1182"/>
      <c r="Y1179" s="1182"/>
    </row>
    <row r="1180" spans="1:25" x14ac:dyDescent="0.2">
      <c r="A1180" s="1763"/>
      <c r="B1180" s="1763"/>
      <c r="C1180" s="1763"/>
      <c r="D1180" s="1763"/>
      <c r="E1180" s="1181"/>
      <c r="R1180" s="1182"/>
      <c r="S1180" s="1182"/>
      <c r="T1180" s="1182"/>
      <c r="U1180" s="1182"/>
      <c r="V1180" s="1182"/>
      <c r="W1180" s="1182"/>
      <c r="X1180" s="1182"/>
      <c r="Y1180" s="1182"/>
    </row>
    <row r="1181" spans="1:25" x14ac:dyDescent="0.2">
      <c r="A1181" s="1763"/>
      <c r="B1181" s="1763"/>
      <c r="C1181" s="1763"/>
      <c r="D1181" s="1763"/>
      <c r="E1181" s="1181"/>
      <c r="R1181" s="1182"/>
      <c r="S1181" s="1182"/>
      <c r="T1181" s="1182"/>
      <c r="U1181" s="1182"/>
      <c r="V1181" s="1182"/>
      <c r="W1181" s="1182"/>
      <c r="X1181" s="1182"/>
      <c r="Y1181" s="1182"/>
    </row>
    <row r="1182" spans="1:25" x14ac:dyDescent="0.2">
      <c r="A1182" s="1763"/>
      <c r="B1182" s="1763"/>
      <c r="C1182" s="1763"/>
      <c r="D1182" s="1763"/>
      <c r="E1182" s="1181"/>
      <c r="R1182" s="1182"/>
      <c r="S1182" s="1182"/>
      <c r="T1182" s="1182"/>
      <c r="U1182" s="1182"/>
      <c r="V1182" s="1182"/>
      <c r="W1182" s="1182"/>
      <c r="X1182" s="1182"/>
      <c r="Y1182" s="1182"/>
    </row>
    <row r="1183" spans="1:25" x14ac:dyDescent="0.2">
      <c r="A1183" s="1763"/>
      <c r="B1183" s="1763"/>
      <c r="C1183" s="1763"/>
      <c r="D1183" s="1763"/>
      <c r="E1183" s="1181"/>
      <c r="R1183" s="1182"/>
      <c r="S1183" s="1182"/>
      <c r="T1183" s="1182"/>
      <c r="U1183" s="1182"/>
      <c r="V1183" s="1182"/>
      <c r="W1183" s="1182"/>
      <c r="X1183" s="1182"/>
      <c r="Y1183" s="1182"/>
    </row>
    <row r="1184" spans="1:25" x14ac:dyDescent="0.2">
      <c r="A1184" s="1763"/>
      <c r="B1184" s="1763"/>
      <c r="C1184" s="1763"/>
      <c r="D1184" s="1763"/>
      <c r="E1184" s="1181"/>
      <c r="R1184" s="1182"/>
      <c r="S1184" s="1182"/>
      <c r="T1184" s="1182"/>
      <c r="U1184" s="1182"/>
      <c r="V1184" s="1182"/>
      <c r="W1184" s="1182"/>
      <c r="X1184" s="1182"/>
      <c r="Y1184" s="1182"/>
    </row>
    <row r="1185" spans="1:25" x14ac:dyDescent="0.2">
      <c r="A1185" s="1763"/>
      <c r="B1185" s="1763"/>
      <c r="C1185" s="1763"/>
      <c r="D1185" s="1763"/>
      <c r="E1185" s="1181"/>
      <c r="R1185" s="1182"/>
      <c r="S1185" s="1182"/>
      <c r="T1185" s="1182"/>
      <c r="U1185" s="1182"/>
      <c r="V1185" s="1182"/>
      <c r="W1185" s="1182"/>
      <c r="X1185" s="1182"/>
      <c r="Y1185" s="1182"/>
    </row>
    <row r="1186" spans="1:25" x14ac:dyDescent="0.2">
      <c r="A1186" s="1763"/>
      <c r="B1186" s="1763"/>
      <c r="C1186" s="1763"/>
      <c r="D1186" s="1763"/>
      <c r="E1186" s="1181"/>
      <c r="R1186" s="1182"/>
      <c r="S1186" s="1182"/>
      <c r="T1186" s="1182"/>
      <c r="U1186" s="1182"/>
      <c r="V1186" s="1182"/>
      <c r="W1186" s="1182"/>
      <c r="X1186" s="1182"/>
      <c r="Y1186" s="1182"/>
    </row>
    <row r="1187" spans="1:25" x14ac:dyDescent="0.2">
      <c r="A1187" s="1763"/>
      <c r="B1187" s="1763"/>
      <c r="C1187" s="1763"/>
      <c r="D1187" s="1763"/>
      <c r="E1187" s="1181"/>
      <c r="R1187" s="1182"/>
      <c r="S1187" s="1182"/>
      <c r="T1187" s="1182"/>
      <c r="U1187" s="1182"/>
      <c r="V1187" s="1182"/>
      <c r="W1187" s="1182"/>
      <c r="X1187" s="1182"/>
      <c r="Y1187" s="1182"/>
    </row>
    <row r="1188" spans="1:25" x14ac:dyDescent="0.2">
      <c r="A1188" s="1763"/>
      <c r="B1188" s="1763"/>
      <c r="C1188" s="1763"/>
      <c r="D1188" s="1763"/>
      <c r="E1188" s="1181"/>
      <c r="R1188" s="1182"/>
      <c r="S1188" s="1182"/>
      <c r="T1188" s="1182"/>
      <c r="U1188" s="1182"/>
      <c r="V1188" s="1182"/>
      <c r="W1188" s="1182"/>
      <c r="X1188" s="1182"/>
      <c r="Y1188" s="1182"/>
    </row>
    <row r="1189" spans="1:25" x14ac:dyDescent="0.2">
      <c r="A1189" s="1763"/>
      <c r="B1189" s="1763"/>
      <c r="C1189" s="1763"/>
      <c r="D1189" s="1763"/>
      <c r="E1189" s="1181"/>
      <c r="R1189" s="1182"/>
      <c r="S1189" s="1182"/>
      <c r="T1189" s="1182"/>
      <c r="U1189" s="1182"/>
      <c r="V1189" s="1182"/>
      <c r="W1189" s="1182"/>
      <c r="X1189" s="1182"/>
      <c r="Y1189" s="1182"/>
    </row>
    <row r="1190" spans="1:25" x14ac:dyDescent="0.2">
      <c r="A1190" s="1763"/>
      <c r="B1190" s="1763"/>
      <c r="C1190" s="1763"/>
      <c r="D1190" s="1763"/>
      <c r="E1190" s="1181"/>
      <c r="R1190" s="1182"/>
      <c r="S1190" s="1182"/>
      <c r="T1190" s="1182"/>
      <c r="U1190" s="1182"/>
      <c r="V1190" s="1182"/>
      <c r="W1190" s="1182"/>
      <c r="X1190" s="1182"/>
      <c r="Y1190" s="1182"/>
    </row>
    <row r="1191" spans="1:25" x14ac:dyDescent="0.2">
      <c r="A1191" s="1763"/>
      <c r="B1191" s="1763"/>
      <c r="C1191" s="1763"/>
      <c r="D1191" s="1763"/>
      <c r="E1191" s="1181"/>
      <c r="R1191" s="1182"/>
      <c r="S1191" s="1182"/>
      <c r="T1191" s="1182"/>
      <c r="U1191" s="1182"/>
      <c r="V1191" s="1182"/>
      <c r="W1191" s="1182"/>
      <c r="X1191" s="1182"/>
      <c r="Y1191" s="1182"/>
    </row>
    <row r="1192" spans="1:25" x14ac:dyDescent="0.2">
      <c r="A1192" s="1763"/>
      <c r="B1192" s="1763"/>
      <c r="C1192" s="1763"/>
      <c r="D1192" s="1763"/>
      <c r="E1192" s="1181"/>
      <c r="R1192" s="1182"/>
      <c r="S1192" s="1182"/>
      <c r="T1192" s="1182"/>
      <c r="U1192" s="1182"/>
      <c r="V1192" s="1182"/>
      <c r="W1192" s="1182"/>
      <c r="X1192" s="1182"/>
      <c r="Y1192" s="1182"/>
    </row>
    <row r="1193" spans="1:25" x14ac:dyDescent="0.2">
      <c r="A1193" s="1763"/>
      <c r="B1193" s="1763"/>
      <c r="C1193" s="1763"/>
      <c r="D1193" s="1763"/>
      <c r="E1193" s="1181"/>
      <c r="R1193" s="1182"/>
      <c r="S1193" s="1182"/>
      <c r="T1193" s="1182"/>
      <c r="U1193" s="1182"/>
      <c r="V1193" s="1182"/>
      <c r="W1193" s="1182"/>
      <c r="X1193" s="1182"/>
      <c r="Y1193" s="1182"/>
    </row>
    <row r="1194" spans="1:25" x14ac:dyDescent="0.2">
      <c r="A1194" s="1763"/>
      <c r="B1194" s="1763"/>
      <c r="C1194" s="1763"/>
      <c r="D1194" s="1763"/>
      <c r="E1194" s="1181"/>
      <c r="R1194" s="1182"/>
      <c r="S1194" s="1182"/>
      <c r="T1194" s="1182"/>
      <c r="U1194" s="1182"/>
      <c r="V1194" s="1182"/>
      <c r="W1194" s="1182"/>
      <c r="X1194" s="1182"/>
      <c r="Y1194" s="1182"/>
    </row>
    <row r="1195" spans="1:25" x14ac:dyDescent="0.2">
      <c r="A1195" s="1763"/>
      <c r="B1195" s="1763"/>
      <c r="C1195" s="1763"/>
      <c r="D1195" s="1763"/>
      <c r="E1195" s="1181"/>
      <c r="R1195" s="1182"/>
      <c r="S1195" s="1182"/>
      <c r="T1195" s="1182"/>
      <c r="U1195" s="1182"/>
      <c r="V1195" s="1182"/>
      <c r="W1195" s="1182"/>
      <c r="X1195" s="1182"/>
      <c r="Y1195" s="1182"/>
    </row>
    <row r="1196" spans="1:25" x14ac:dyDescent="0.2">
      <c r="A1196" s="1763"/>
      <c r="B1196" s="1763"/>
      <c r="C1196" s="1763"/>
      <c r="D1196" s="1763"/>
      <c r="E1196" s="1181"/>
      <c r="R1196" s="1182"/>
      <c r="S1196" s="1182"/>
      <c r="T1196" s="1182"/>
      <c r="U1196" s="1182"/>
      <c r="V1196" s="1182"/>
      <c r="W1196" s="1182"/>
      <c r="X1196" s="1182"/>
      <c r="Y1196" s="1182"/>
    </row>
    <row r="1197" spans="1:25" x14ac:dyDescent="0.2">
      <c r="A1197" s="1763"/>
      <c r="B1197" s="1763"/>
      <c r="C1197" s="1763"/>
      <c r="D1197" s="1763"/>
      <c r="E1197" s="1181"/>
      <c r="R1197" s="1182"/>
      <c r="S1197" s="1182"/>
      <c r="T1197" s="1182"/>
      <c r="U1197" s="1182"/>
      <c r="V1197" s="1182"/>
      <c r="W1197" s="1182"/>
      <c r="X1197" s="1182"/>
      <c r="Y1197" s="1182"/>
    </row>
    <row r="1198" spans="1:25" x14ac:dyDescent="0.2">
      <c r="A1198" s="1763"/>
      <c r="B1198" s="1763"/>
      <c r="C1198" s="1763"/>
      <c r="D1198" s="1763"/>
      <c r="E1198" s="1181"/>
      <c r="R1198" s="1182"/>
      <c r="S1198" s="1182"/>
      <c r="T1198" s="1182"/>
      <c r="U1198" s="1182"/>
      <c r="V1198" s="1182"/>
      <c r="W1198" s="1182"/>
      <c r="X1198" s="1182"/>
      <c r="Y1198" s="1182"/>
    </row>
    <row r="1199" spans="1:25" x14ac:dyDescent="0.2">
      <c r="A1199" s="1763"/>
      <c r="B1199" s="1763"/>
      <c r="C1199" s="1763"/>
      <c r="D1199" s="1763"/>
      <c r="E1199" s="1181"/>
      <c r="R1199" s="1182"/>
      <c r="S1199" s="1182"/>
      <c r="T1199" s="1182"/>
      <c r="U1199" s="1182"/>
      <c r="V1199" s="1182"/>
      <c r="W1199" s="1182"/>
      <c r="X1199" s="1182"/>
      <c r="Y1199" s="1182"/>
    </row>
    <row r="1200" spans="1:25" x14ac:dyDescent="0.2">
      <c r="A1200" s="1763"/>
      <c r="B1200" s="1763"/>
      <c r="C1200" s="1763"/>
      <c r="D1200" s="1763"/>
      <c r="E1200" s="1181"/>
      <c r="R1200" s="1182"/>
      <c r="S1200" s="1182"/>
      <c r="T1200" s="1182"/>
      <c r="U1200" s="1182"/>
      <c r="V1200" s="1182"/>
      <c r="W1200" s="1182"/>
      <c r="X1200" s="1182"/>
      <c r="Y1200" s="1182"/>
    </row>
    <row r="1201" spans="1:25" x14ac:dyDescent="0.2">
      <c r="A1201" s="1763"/>
      <c r="B1201" s="1763"/>
      <c r="C1201" s="1763"/>
      <c r="D1201" s="1763"/>
      <c r="E1201" s="1181"/>
      <c r="R1201" s="1182"/>
      <c r="S1201" s="1182"/>
      <c r="T1201" s="1182"/>
      <c r="U1201" s="1182"/>
      <c r="V1201" s="1182"/>
      <c r="W1201" s="1182"/>
      <c r="X1201" s="1182"/>
      <c r="Y1201" s="1182"/>
    </row>
    <row r="1202" spans="1:25" x14ac:dyDescent="0.2">
      <c r="A1202" s="1763"/>
      <c r="B1202" s="1763"/>
      <c r="C1202" s="1763"/>
      <c r="D1202" s="1763"/>
      <c r="E1202" s="1181"/>
      <c r="R1202" s="1182"/>
      <c r="S1202" s="1182"/>
      <c r="T1202" s="1182"/>
      <c r="U1202" s="1182"/>
      <c r="V1202" s="1182"/>
      <c r="W1202" s="1182"/>
      <c r="X1202" s="1182"/>
      <c r="Y1202" s="1182"/>
    </row>
    <row r="1203" spans="1:25" x14ac:dyDescent="0.2">
      <c r="A1203" s="1763"/>
      <c r="B1203" s="1763"/>
      <c r="C1203" s="1763"/>
      <c r="D1203" s="1763"/>
      <c r="E1203" s="1181"/>
      <c r="R1203" s="1182"/>
      <c r="S1203" s="1182"/>
      <c r="T1203" s="1182"/>
      <c r="U1203" s="1182"/>
      <c r="V1203" s="1182"/>
      <c r="W1203" s="1182"/>
      <c r="X1203" s="1182"/>
      <c r="Y1203" s="1182"/>
    </row>
    <row r="1204" spans="1:25" x14ac:dyDescent="0.2">
      <c r="A1204" s="1763"/>
      <c r="B1204" s="1763"/>
      <c r="C1204" s="1763"/>
      <c r="D1204" s="1763"/>
      <c r="E1204" s="1181"/>
      <c r="R1204" s="1182"/>
      <c r="S1204" s="1182"/>
      <c r="T1204" s="1182"/>
      <c r="U1204" s="1182"/>
      <c r="V1204" s="1182"/>
      <c r="W1204" s="1182"/>
      <c r="X1204" s="1182"/>
      <c r="Y1204" s="1182"/>
    </row>
    <row r="1205" spans="1:25" x14ac:dyDescent="0.2">
      <c r="A1205" s="1763"/>
      <c r="B1205" s="1763"/>
      <c r="C1205" s="1763"/>
      <c r="D1205" s="1763"/>
      <c r="E1205" s="1181"/>
      <c r="R1205" s="1182"/>
      <c r="S1205" s="1182"/>
      <c r="T1205" s="1182"/>
      <c r="U1205" s="1182"/>
      <c r="V1205" s="1182"/>
      <c r="W1205" s="1182"/>
      <c r="X1205" s="1182"/>
      <c r="Y1205" s="1182"/>
    </row>
    <row r="1206" spans="1:25" x14ac:dyDescent="0.2">
      <c r="A1206" s="1763"/>
      <c r="B1206" s="1763"/>
      <c r="C1206" s="1763"/>
      <c r="D1206" s="1763"/>
      <c r="E1206" s="1181"/>
      <c r="R1206" s="1182"/>
      <c r="S1206" s="1182"/>
      <c r="T1206" s="1182"/>
      <c r="U1206" s="1182"/>
      <c r="V1206" s="1182"/>
      <c r="W1206" s="1182"/>
      <c r="X1206" s="1182"/>
      <c r="Y1206" s="1182"/>
    </row>
    <row r="1207" spans="1:25" x14ac:dyDescent="0.2">
      <c r="A1207" s="1763"/>
      <c r="B1207" s="1763"/>
      <c r="C1207" s="1763"/>
      <c r="D1207" s="1763"/>
      <c r="E1207" s="1181"/>
      <c r="R1207" s="1182"/>
      <c r="S1207" s="1182"/>
      <c r="T1207" s="1182"/>
      <c r="U1207" s="1182"/>
      <c r="V1207" s="1182"/>
      <c r="W1207" s="1182"/>
      <c r="X1207" s="1182"/>
      <c r="Y1207" s="1182"/>
    </row>
    <row r="1208" spans="1:25" x14ac:dyDescent="0.2">
      <c r="A1208" s="1763"/>
      <c r="B1208" s="1763"/>
      <c r="C1208" s="1763"/>
      <c r="D1208" s="1763"/>
      <c r="E1208" s="1181"/>
      <c r="R1208" s="1182"/>
      <c r="S1208" s="1182"/>
      <c r="T1208" s="1182"/>
      <c r="U1208" s="1182"/>
      <c r="V1208" s="1182"/>
      <c r="W1208" s="1182"/>
      <c r="X1208" s="1182"/>
      <c r="Y1208" s="1182"/>
    </row>
    <row r="1209" spans="1:25" x14ac:dyDescent="0.2">
      <c r="A1209" s="1763"/>
      <c r="B1209" s="1763"/>
      <c r="C1209" s="1763"/>
      <c r="D1209" s="1763"/>
      <c r="E1209" s="1181"/>
      <c r="R1209" s="1182"/>
      <c r="S1209" s="1182"/>
      <c r="T1209" s="1182"/>
      <c r="U1209" s="1182"/>
      <c r="V1209" s="1182"/>
      <c r="W1209" s="1182"/>
      <c r="X1209" s="1182"/>
      <c r="Y1209" s="1182"/>
    </row>
    <row r="1210" spans="1:25" x14ac:dyDescent="0.2">
      <c r="A1210" s="1763"/>
      <c r="B1210" s="1763"/>
      <c r="C1210" s="1763"/>
      <c r="D1210" s="1763"/>
      <c r="E1210" s="1181"/>
      <c r="R1210" s="1182"/>
      <c r="S1210" s="1182"/>
      <c r="T1210" s="1182"/>
      <c r="U1210" s="1182"/>
      <c r="V1210" s="1182"/>
      <c r="W1210" s="1182"/>
      <c r="X1210" s="1182"/>
      <c r="Y1210" s="1182"/>
    </row>
    <row r="1211" spans="1:25" x14ac:dyDescent="0.2">
      <c r="A1211" s="1763"/>
      <c r="B1211" s="1763"/>
      <c r="C1211" s="1763"/>
      <c r="D1211" s="1763"/>
      <c r="E1211" s="1181"/>
      <c r="R1211" s="1182"/>
      <c r="S1211" s="1182"/>
      <c r="T1211" s="1182"/>
      <c r="U1211" s="1182"/>
      <c r="V1211" s="1182"/>
      <c r="W1211" s="1182"/>
      <c r="X1211" s="1182"/>
      <c r="Y1211" s="1182"/>
    </row>
    <row r="1212" spans="1:25" x14ac:dyDescent="0.2">
      <c r="A1212" s="1763"/>
      <c r="B1212" s="1763"/>
      <c r="C1212" s="1763"/>
      <c r="D1212" s="1763"/>
      <c r="E1212" s="1181"/>
      <c r="R1212" s="1182"/>
      <c r="S1212" s="1182"/>
      <c r="T1212" s="1182"/>
      <c r="U1212" s="1182"/>
      <c r="V1212" s="1182"/>
      <c r="W1212" s="1182"/>
      <c r="X1212" s="1182"/>
      <c r="Y1212" s="1182"/>
    </row>
    <row r="1213" spans="1:25" x14ac:dyDescent="0.2">
      <c r="A1213" s="1763"/>
      <c r="B1213" s="1763"/>
      <c r="C1213" s="1763"/>
      <c r="D1213" s="1763"/>
      <c r="E1213" s="1181"/>
      <c r="R1213" s="1182"/>
      <c r="S1213" s="1182"/>
      <c r="T1213" s="1182"/>
      <c r="U1213" s="1182"/>
      <c r="V1213" s="1182"/>
      <c r="W1213" s="1182"/>
      <c r="X1213" s="1182"/>
      <c r="Y1213" s="1182"/>
    </row>
    <row r="1214" spans="1:25" x14ac:dyDescent="0.2">
      <c r="A1214" s="1763"/>
      <c r="B1214" s="1763"/>
      <c r="C1214" s="1763"/>
      <c r="D1214" s="1763"/>
      <c r="E1214" s="1181"/>
      <c r="R1214" s="1182"/>
      <c r="S1214" s="1182"/>
      <c r="T1214" s="1182"/>
      <c r="U1214" s="1182"/>
      <c r="V1214" s="1182"/>
      <c r="W1214" s="1182"/>
      <c r="X1214" s="1182"/>
      <c r="Y1214" s="1182"/>
    </row>
    <row r="1215" spans="1:25" x14ac:dyDescent="0.2">
      <c r="A1215" s="1763"/>
      <c r="B1215" s="1763"/>
      <c r="C1215" s="1763"/>
      <c r="D1215" s="1763"/>
      <c r="E1215" s="1181"/>
      <c r="R1215" s="1182"/>
      <c r="S1215" s="1182"/>
      <c r="T1215" s="1182"/>
      <c r="U1215" s="1182"/>
      <c r="V1215" s="1182"/>
      <c r="W1215" s="1182"/>
      <c r="X1215" s="1182"/>
      <c r="Y1215" s="1182"/>
    </row>
    <row r="1216" spans="1:25" x14ac:dyDescent="0.2">
      <c r="A1216" s="1763"/>
      <c r="B1216" s="1763"/>
      <c r="C1216" s="1763"/>
      <c r="D1216" s="1763"/>
      <c r="E1216" s="1181"/>
      <c r="R1216" s="1182"/>
      <c r="S1216" s="1182"/>
      <c r="T1216" s="1182"/>
      <c r="U1216" s="1182"/>
      <c r="V1216" s="1182"/>
      <c r="W1216" s="1182"/>
      <c r="X1216" s="1182"/>
      <c r="Y1216" s="1182"/>
    </row>
    <row r="1217" spans="1:25" x14ac:dyDescent="0.2">
      <c r="A1217" s="1763"/>
      <c r="B1217" s="1763"/>
      <c r="C1217" s="1763"/>
      <c r="D1217" s="1763"/>
      <c r="E1217" s="1181"/>
      <c r="R1217" s="1182"/>
      <c r="S1217" s="1182"/>
      <c r="T1217" s="1182"/>
      <c r="U1217" s="1182"/>
      <c r="V1217" s="1182"/>
      <c r="W1217" s="1182"/>
      <c r="X1217" s="1182"/>
      <c r="Y1217" s="1182"/>
    </row>
    <row r="1218" spans="1:25" x14ac:dyDescent="0.2">
      <c r="A1218" s="1763"/>
      <c r="B1218" s="1763"/>
      <c r="C1218" s="1763"/>
      <c r="D1218" s="1763"/>
      <c r="E1218" s="1181"/>
      <c r="R1218" s="1182"/>
      <c r="S1218" s="1182"/>
      <c r="T1218" s="1182"/>
      <c r="U1218" s="1182"/>
      <c r="V1218" s="1182"/>
      <c r="W1218" s="1182"/>
      <c r="X1218" s="1182"/>
      <c r="Y1218" s="1182"/>
    </row>
    <row r="1219" spans="1:25" x14ac:dyDescent="0.2">
      <c r="A1219" s="1763"/>
      <c r="B1219" s="1763"/>
      <c r="C1219" s="1763"/>
      <c r="D1219" s="1763"/>
      <c r="E1219" s="1181"/>
      <c r="R1219" s="1182"/>
      <c r="S1219" s="1182"/>
      <c r="T1219" s="1182"/>
      <c r="U1219" s="1182"/>
      <c r="V1219" s="1182"/>
      <c r="W1219" s="1182"/>
      <c r="X1219" s="1182"/>
      <c r="Y1219" s="1182"/>
    </row>
    <row r="1220" spans="1:25" x14ac:dyDescent="0.2">
      <c r="A1220" s="1763"/>
      <c r="B1220" s="1763"/>
      <c r="C1220" s="1763"/>
      <c r="D1220" s="1763"/>
      <c r="E1220" s="1181"/>
      <c r="R1220" s="1182"/>
      <c r="S1220" s="1182"/>
      <c r="T1220" s="1182"/>
      <c r="U1220" s="1182"/>
      <c r="V1220" s="1182"/>
      <c r="W1220" s="1182"/>
      <c r="X1220" s="1182"/>
      <c r="Y1220" s="1182"/>
    </row>
    <row r="1221" spans="1:25" x14ac:dyDescent="0.2">
      <c r="A1221" s="1763"/>
      <c r="B1221" s="1763"/>
      <c r="C1221" s="1763"/>
      <c r="D1221" s="1763"/>
      <c r="E1221" s="1181"/>
      <c r="R1221" s="1182"/>
      <c r="S1221" s="1182"/>
      <c r="T1221" s="1182"/>
      <c r="U1221" s="1182"/>
      <c r="V1221" s="1182"/>
      <c r="W1221" s="1182"/>
      <c r="X1221" s="1182"/>
      <c r="Y1221" s="1182"/>
    </row>
    <row r="1222" spans="1:25" x14ac:dyDescent="0.2">
      <c r="A1222" s="1763"/>
      <c r="B1222" s="1763"/>
      <c r="C1222" s="1763"/>
      <c r="D1222" s="1763"/>
      <c r="E1222" s="1181"/>
      <c r="R1222" s="1182"/>
      <c r="S1222" s="1182"/>
      <c r="T1222" s="1182"/>
      <c r="U1222" s="1182"/>
      <c r="V1222" s="1182"/>
      <c r="W1222" s="1182"/>
      <c r="X1222" s="1182"/>
      <c r="Y1222" s="1182"/>
    </row>
    <row r="1223" spans="1:25" x14ac:dyDescent="0.2">
      <c r="A1223" s="1763"/>
      <c r="B1223" s="1763"/>
      <c r="C1223" s="1763"/>
      <c r="D1223" s="1763"/>
      <c r="E1223" s="1181"/>
      <c r="R1223" s="1182"/>
      <c r="S1223" s="1182"/>
      <c r="T1223" s="1182"/>
      <c r="U1223" s="1182"/>
      <c r="V1223" s="1182"/>
      <c r="W1223" s="1182"/>
      <c r="X1223" s="1182"/>
      <c r="Y1223" s="1182"/>
    </row>
    <row r="1224" spans="1:25" x14ac:dyDescent="0.2">
      <c r="A1224" s="1763"/>
      <c r="B1224" s="1763"/>
      <c r="C1224" s="1763"/>
      <c r="D1224" s="1763"/>
      <c r="E1224" s="1181"/>
      <c r="R1224" s="1182"/>
      <c r="S1224" s="1182"/>
      <c r="T1224" s="1182"/>
      <c r="U1224" s="1182"/>
      <c r="V1224" s="1182"/>
      <c r="W1224" s="1182"/>
      <c r="X1224" s="1182"/>
      <c r="Y1224" s="1182"/>
    </row>
    <row r="1225" spans="1:25" x14ac:dyDescent="0.2">
      <c r="A1225" s="1763"/>
      <c r="B1225" s="1763"/>
      <c r="C1225" s="1763"/>
      <c r="D1225" s="1763"/>
      <c r="E1225" s="1181"/>
      <c r="R1225" s="1182"/>
      <c r="S1225" s="1182"/>
      <c r="T1225" s="1182"/>
      <c r="U1225" s="1182"/>
      <c r="V1225" s="1182"/>
      <c r="W1225" s="1182"/>
      <c r="X1225" s="1182"/>
      <c r="Y1225" s="1182"/>
    </row>
    <row r="1226" spans="1:25" x14ac:dyDescent="0.2">
      <c r="A1226" s="1763"/>
      <c r="B1226" s="1763"/>
      <c r="C1226" s="1763"/>
      <c r="D1226" s="1763"/>
      <c r="E1226" s="1181"/>
      <c r="R1226" s="1182"/>
      <c r="S1226" s="1182"/>
      <c r="T1226" s="1182"/>
      <c r="U1226" s="1182"/>
      <c r="V1226" s="1182"/>
      <c r="W1226" s="1182"/>
      <c r="X1226" s="1182"/>
      <c r="Y1226" s="1182"/>
    </row>
    <row r="1227" spans="1:25" x14ac:dyDescent="0.2">
      <c r="A1227" s="1763"/>
      <c r="B1227" s="1763"/>
      <c r="C1227" s="1763"/>
      <c r="D1227" s="1763"/>
      <c r="E1227" s="1181"/>
      <c r="R1227" s="1182"/>
      <c r="S1227" s="1182"/>
      <c r="T1227" s="1182"/>
      <c r="U1227" s="1182"/>
      <c r="V1227" s="1182"/>
      <c r="W1227" s="1182"/>
      <c r="X1227" s="1182"/>
      <c r="Y1227" s="1182"/>
    </row>
    <row r="1228" spans="1:25" x14ac:dyDescent="0.2">
      <c r="A1228" s="1763"/>
      <c r="B1228" s="1763"/>
      <c r="C1228" s="1763"/>
      <c r="D1228" s="1763"/>
      <c r="E1228" s="1181"/>
      <c r="R1228" s="1182"/>
      <c r="S1228" s="1182"/>
      <c r="T1228" s="1182"/>
      <c r="U1228" s="1182"/>
      <c r="V1228" s="1182"/>
      <c r="W1228" s="1182"/>
      <c r="X1228" s="1182"/>
      <c r="Y1228" s="1182"/>
    </row>
    <row r="1229" spans="1:25" x14ac:dyDescent="0.2">
      <c r="A1229" s="1763"/>
      <c r="B1229" s="1763"/>
      <c r="C1229" s="1763"/>
      <c r="D1229" s="1763"/>
      <c r="E1229" s="1181"/>
      <c r="R1229" s="1182"/>
      <c r="S1229" s="1182"/>
      <c r="T1229" s="1182"/>
      <c r="U1229" s="1182"/>
      <c r="V1229" s="1182"/>
      <c r="W1229" s="1182"/>
      <c r="X1229" s="1182"/>
      <c r="Y1229" s="1182"/>
    </row>
    <row r="1230" spans="1:25" x14ac:dyDescent="0.2">
      <c r="A1230" s="1763"/>
      <c r="B1230" s="1763"/>
      <c r="C1230" s="1763"/>
      <c r="D1230" s="1763"/>
      <c r="E1230" s="1181"/>
      <c r="R1230" s="1182"/>
      <c r="S1230" s="1182"/>
      <c r="T1230" s="1182"/>
      <c r="U1230" s="1182"/>
      <c r="V1230" s="1182"/>
      <c r="W1230" s="1182"/>
      <c r="X1230" s="1182"/>
      <c r="Y1230" s="1182"/>
    </row>
    <row r="1231" spans="1:25" x14ac:dyDescent="0.2">
      <c r="A1231" s="1763"/>
      <c r="B1231" s="1763"/>
      <c r="C1231" s="1763"/>
      <c r="D1231" s="1763"/>
      <c r="E1231" s="1181"/>
      <c r="R1231" s="1182"/>
      <c r="S1231" s="1182"/>
      <c r="T1231" s="1182"/>
      <c r="U1231" s="1182"/>
      <c r="V1231" s="1182"/>
      <c r="W1231" s="1182"/>
      <c r="X1231" s="1182"/>
      <c r="Y1231" s="1182"/>
    </row>
    <row r="1232" spans="1:25" x14ac:dyDescent="0.2">
      <c r="A1232" s="1763"/>
      <c r="B1232" s="1763"/>
      <c r="C1232" s="1763"/>
      <c r="D1232" s="1763"/>
      <c r="E1232" s="1181"/>
      <c r="R1232" s="1182"/>
      <c r="S1232" s="1182"/>
      <c r="T1232" s="1182"/>
      <c r="U1232" s="1182"/>
      <c r="V1232" s="1182"/>
      <c r="W1232" s="1182"/>
      <c r="X1232" s="1182"/>
      <c r="Y1232" s="1182"/>
    </row>
    <row r="1233" spans="1:25" x14ac:dyDescent="0.2">
      <c r="A1233" s="1763"/>
      <c r="B1233" s="1763"/>
      <c r="C1233" s="1763"/>
      <c r="D1233" s="1763"/>
      <c r="E1233" s="1181"/>
      <c r="R1233" s="1182"/>
      <c r="S1233" s="1182"/>
      <c r="T1233" s="1182"/>
      <c r="U1233" s="1182"/>
      <c r="V1233" s="1182"/>
      <c r="W1233" s="1182"/>
      <c r="X1233" s="1182"/>
      <c r="Y1233" s="1182"/>
    </row>
    <row r="1234" spans="1:25" x14ac:dyDescent="0.2">
      <c r="A1234" s="1763"/>
      <c r="B1234" s="1763"/>
      <c r="C1234" s="1763"/>
      <c r="D1234" s="1763"/>
      <c r="E1234" s="1181"/>
      <c r="R1234" s="1182"/>
      <c r="S1234" s="1182"/>
      <c r="T1234" s="1182"/>
      <c r="U1234" s="1182"/>
      <c r="V1234" s="1182"/>
      <c r="W1234" s="1182"/>
      <c r="X1234" s="1182"/>
      <c r="Y1234" s="1182"/>
    </row>
    <row r="1235" spans="1:25" x14ac:dyDescent="0.2">
      <c r="A1235" s="1763"/>
      <c r="B1235" s="1763"/>
      <c r="C1235" s="1763"/>
      <c r="D1235" s="1763"/>
      <c r="E1235" s="1181"/>
      <c r="R1235" s="1182"/>
      <c r="S1235" s="1182"/>
      <c r="T1235" s="1182"/>
      <c r="U1235" s="1182"/>
      <c r="V1235" s="1182"/>
      <c r="W1235" s="1182"/>
      <c r="X1235" s="1182"/>
      <c r="Y1235" s="1182"/>
    </row>
    <row r="1236" spans="1:25" x14ac:dyDescent="0.2">
      <c r="A1236" s="1763"/>
      <c r="B1236" s="1763"/>
      <c r="C1236" s="1763"/>
      <c r="D1236" s="1763"/>
      <c r="E1236" s="1181"/>
      <c r="R1236" s="1182"/>
      <c r="S1236" s="1182"/>
      <c r="T1236" s="1182"/>
      <c r="U1236" s="1182"/>
      <c r="V1236" s="1182"/>
      <c r="W1236" s="1182"/>
      <c r="X1236" s="1182"/>
      <c r="Y1236" s="1182"/>
    </row>
    <row r="1237" spans="1:25" x14ac:dyDescent="0.2">
      <c r="A1237" s="1763"/>
      <c r="B1237" s="1763"/>
      <c r="C1237" s="1763"/>
      <c r="D1237" s="1763"/>
      <c r="E1237" s="1181"/>
      <c r="R1237" s="1182"/>
      <c r="S1237" s="1182"/>
      <c r="T1237" s="1182"/>
      <c r="U1237" s="1182"/>
      <c r="V1237" s="1182"/>
      <c r="W1237" s="1182"/>
      <c r="X1237" s="1182"/>
      <c r="Y1237" s="1182"/>
    </row>
    <row r="1238" spans="1:25" x14ac:dyDescent="0.2">
      <c r="A1238" s="1763"/>
      <c r="B1238" s="1763"/>
      <c r="C1238" s="1763"/>
      <c r="D1238" s="1763"/>
      <c r="E1238" s="1181"/>
      <c r="R1238" s="1182"/>
      <c r="S1238" s="1182"/>
      <c r="T1238" s="1182"/>
      <c r="U1238" s="1182"/>
      <c r="V1238" s="1182"/>
      <c r="W1238" s="1182"/>
      <c r="X1238" s="1182"/>
      <c r="Y1238" s="1182"/>
    </row>
    <row r="1239" spans="1:25" x14ac:dyDescent="0.2">
      <c r="A1239" s="1763"/>
      <c r="B1239" s="1763"/>
      <c r="C1239" s="1763"/>
      <c r="D1239" s="1763"/>
      <c r="E1239" s="1181"/>
      <c r="R1239" s="1182"/>
      <c r="S1239" s="1182"/>
      <c r="T1239" s="1182"/>
      <c r="U1239" s="1182"/>
      <c r="V1239" s="1182"/>
      <c r="W1239" s="1182"/>
      <c r="X1239" s="1182"/>
      <c r="Y1239" s="1182"/>
    </row>
    <row r="1240" spans="1:25" x14ac:dyDescent="0.2">
      <c r="A1240" s="1763"/>
      <c r="B1240" s="1763"/>
      <c r="C1240" s="1763"/>
      <c r="D1240" s="1763"/>
      <c r="E1240" s="1181"/>
      <c r="R1240" s="1182"/>
      <c r="S1240" s="1182"/>
      <c r="T1240" s="1182"/>
      <c r="U1240" s="1182"/>
      <c r="V1240" s="1182"/>
      <c r="W1240" s="1182"/>
      <c r="X1240" s="1182"/>
      <c r="Y1240" s="1182"/>
    </row>
    <row r="1241" spans="1:25" x14ac:dyDescent="0.2">
      <c r="A1241" s="1763"/>
      <c r="B1241" s="1763"/>
      <c r="C1241" s="1763"/>
      <c r="D1241" s="1763"/>
      <c r="E1241" s="1181"/>
      <c r="R1241" s="1182"/>
      <c r="S1241" s="1182"/>
      <c r="T1241" s="1182"/>
      <c r="U1241" s="1182"/>
      <c r="V1241" s="1182"/>
      <c r="W1241" s="1182"/>
      <c r="X1241" s="1182"/>
      <c r="Y1241" s="1182"/>
    </row>
    <row r="1242" spans="1:25" x14ac:dyDescent="0.2">
      <c r="A1242" s="1763"/>
      <c r="B1242" s="1763"/>
      <c r="C1242" s="1763"/>
      <c r="D1242" s="1763"/>
      <c r="E1242" s="1181"/>
      <c r="R1242" s="1182"/>
      <c r="S1242" s="1182"/>
      <c r="T1242" s="1182"/>
      <c r="U1242" s="1182"/>
      <c r="V1242" s="1182"/>
      <c r="W1242" s="1182"/>
      <c r="X1242" s="1182"/>
      <c r="Y1242" s="1182"/>
    </row>
    <row r="1243" spans="1:25" x14ac:dyDescent="0.2">
      <c r="A1243" s="1763"/>
      <c r="B1243" s="1763"/>
      <c r="C1243" s="1763"/>
      <c r="D1243" s="1763"/>
      <c r="E1243" s="1181"/>
      <c r="R1243" s="1182"/>
      <c r="S1243" s="1182"/>
      <c r="T1243" s="1182"/>
      <c r="U1243" s="1182"/>
      <c r="V1243" s="1182"/>
      <c r="W1243" s="1182"/>
      <c r="X1243" s="1182"/>
      <c r="Y1243" s="1182"/>
    </row>
    <row r="1244" spans="1:25" x14ac:dyDescent="0.2">
      <c r="A1244" s="1763"/>
      <c r="B1244" s="1763"/>
      <c r="C1244" s="1763"/>
      <c r="D1244" s="1763"/>
      <c r="E1244" s="1181"/>
      <c r="R1244" s="1182"/>
      <c r="S1244" s="1182"/>
      <c r="T1244" s="1182"/>
      <c r="U1244" s="1182"/>
      <c r="V1244" s="1182"/>
      <c r="W1244" s="1182"/>
      <c r="X1244" s="1182"/>
      <c r="Y1244" s="1182"/>
    </row>
    <row r="1245" spans="1:25" x14ac:dyDescent="0.2">
      <c r="A1245" s="1763"/>
      <c r="B1245" s="1763"/>
      <c r="C1245" s="1763"/>
      <c r="D1245" s="1763"/>
      <c r="E1245" s="1181"/>
      <c r="R1245" s="1182"/>
      <c r="S1245" s="1182"/>
      <c r="T1245" s="1182"/>
      <c r="U1245" s="1182"/>
      <c r="V1245" s="1182"/>
      <c r="W1245" s="1182"/>
      <c r="X1245" s="1182"/>
      <c r="Y1245" s="1182"/>
    </row>
    <row r="1246" spans="1:25" x14ac:dyDescent="0.2">
      <c r="A1246" s="1763"/>
      <c r="B1246" s="1763"/>
      <c r="C1246" s="1763"/>
      <c r="D1246" s="1763"/>
      <c r="E1246" s="1181"/>
      <c r="R1246" s="1182"/>
      <c r="S1246" s="1182"/>
      <c r="T1246" s="1182"/>
      <c r="U1246" s="1182"/>
      <c r="V1246" s="1182"/>
      <c r="W1246" s="1182"/>
      <c r="X1246" s="1182"/>
      <c r="Y1246" s="1182"/>
    </row>
    <row r="1247" spans="1:25" x14ac:dyDescent="0.2">
      <c r="A1247" s="1763"/>
      <c r="B1247" s="1763"/>
      <c r="C1247" s="1763"/>
      <c r="D1247" s="1763"/>
      <c r="E1247" s="1181"/>
      <c r="R1247" s="1182"/>
      <c r="S1247" s="1182"/>
      <c r="T1247" s="1182"/>
      <c r="U1247" s="1182"/>
      <c r="V1247" s="1182"/>
      <c r="W1247" s="1182"/>
      <c r="X1247" s="1182"/>
      <c r="Y1247" s="1182"/>
    </row>
    <row r="1248" spans="1:25" x14ac:dyDescent="0.2">
      <c r="A1248" s="1763"/>
      <c r="B1248" s="1763"/>
      <c r="C1248" s="1763"/>
      <c r="D1248" s="1763"/>
      <c r="E1248" s="1181"/>
      <c r="R1248" s="1182"/>
      <c r="S1248" s="1182"/>
      <c r="T1248" s="1182"/>
      <c r="U1248" s="1182"/>
      <c r="V1248" s="1182"/>
      <c r="W1248" s="1182"/>
      <c r="X1248" s="1182"/>
      <c r="Y1248" s="1182"/>
    </row>
    <row r="1249" spans="1:25" x14ac:dyDescent="0.2">
      <c r="A1249" s="1763"/>
      <c r="B1249" s="1763"/>
      <c r="C1249" s="1763"/>
      <c r="D1249" s="1763"/>
      <c r="E1249" s="1181"/>
      <c r="R1249" s="1182"/>
      <c r="S1249" s="1182"/>
      <c r="T1249" s="1182"/>
      <c r="U1249" s="1182"/>
      <c r="V1249" s="1182"/>
      <c r="W1249" s="1182"/>
      <c r="X1249" s="1182"/>
      <c r="Y1249" s="1182"/>
    </row>
    <row r="1250" spans="1:25" x14ac:dyDescent="0.2">
      <c r="A1250" s="1763"/>
      <c r="B1250" s="1763"/>
      <c r="C1250" s="1763"/>
      <c r="D1250" s="1763"/>
      <c r="E1250" s="1181"/>
      <c r="R1250" s="1182"/>
      <c r="S1250" s="1182"/>
      <c r="T1250" s="1182"/>
      <c r="U1250" s="1182"/>
      <c r="V1250" s="1182"/>
      <c r="W1250" s="1182"/>
      <c r="X1250" s="1182"/>
      <c r="Y1250" s="1182"/>
    </row>
    <row r="1251" spans="1:25" x14ac:dyDescent="0.2">
      <c r="A1251" s="1763"/>
      <c r="B1251" s="1763"/>
      <c r="C1251" s="1763"/>
      <c r="D1251" s="1763"/>
      <c r="E1251" s="1181"/>
      <c r="R1251" s="1182"/>
      <c r="S1251" s="1182"/>
      <c r="T1251" s="1182"/>
      <c r="U1251" s="1182"/>
      <c r="V1251" s="1182"/>
      <c r="W1251" s="1182"/>
      <c r="X1251" s="1182"/>
      <c r="Y1251" s="1182"/>
    </row>
    <row r="1252" spans="1:25" x14ac:dyDescent="0.2">
      <c r="A1252" s="1763"/>
      <c r="B1252" s="1763"/>
      <c r="C1252" s="1763"/>
      <c r="D1252" s="1763"/>
      <c r="E1252" s="1181"/>
      <c r="R1252" s="1182"/>
      <c r="S1252" s="1182"/>
      <c r="T1252" s="1182"/>
      <c r="U1252" s="1182"/>
      <c r="V1252" s="1182"/>
      <c r="W1252" s="1182"/>
      <c r="X1252" s="1182"/>
      <c r="Y1252" s="1182"/>
    </row>
    <row r="1253" spans="1:25" x14ac:dyDescent="0.2">
      <c r="A1253" s="1763"/>
      <c r="B1253" s="1763"/>
      <c r="C1253" s="1763"/>
      <c r="D1253" s="1763"/>
      <c r="E1253" s="1181"/>
      <c r="R1253" s="1182"/>
      <c r="S1253" s="1182"/>
      <c r="T1253" s="1182"/>
      <c r="U1253" s="1182"/>
      <c r="V1253" s="1182"/>
      <c r="W1253" s="1182"/>
      <c r="X1253" s="1182"/>
      <c r="Y1253" s="1182"/>
    </row>
    <row r="1254" spans="1:25" x14ac:dyDescent="0.2">
      <c r="A1254" s="1763"/>
      <c r="B1254" s="1763"/>
      <c r="C1254" s="1763"/>
      <c r="D1254" s="1763"/>
      <c r="E1254" s="1181"/>
      <c r="R1254" s="1182"/>
      <c r="S1254" s="1182"/>
      <c r="T1254" s="1182"/>
      <c r="U1254" s="1182"/>
      <c r="V1254" s="1182"/>
      <c r="W1254" s="1182"/>
      <c r="X1254" s="1182"/>
      <c r="Y1254" s="1182"/>
    </row>
    <row r="1255" spans="1:25" x14ac:dyDescent="0.2">
      <c r="A1255" s="1763"/>
      <c r="B1255" s="1763"/>
      <c r="C1255" s="1763"/>
      <c r="D1255" s="1763"/>
      <c r="E1255" s="1181"/>
      <c r="R1255" s="1182"/>
      <c r="S1255" s="1182"/>
      <c r="T1255" s="1182"/>
      <c r="U1255" s="1182"/>
      <c r="V1255" s="1182"/>
      <c r="W1255" s="1182"/>
      <c r="X1255" s="1182"/>
      <c r="Y1255" s="1182"/>
    </row>
    <row r="1256" spans="1:25" x14ac:dyDescent="0.2">
      <c r="A1256" s="1763"/>
      <c r="B1256" s="1763"/>
      <c r="C1256" s="1763"/>
      <c r="D1256" s="1763"/>
      <c r="E1256" s="1181"/>
      <c r="R1256" s="1182"/>
      <c r="S1256" s="1182"/>
      <c r="T1256" s="1182"/>
      <c r="U1256" s="1182"/>
      <c r="V1256" s="1182"/>
      <c r="W1256" s="1182"/>
      <c r="X1256" s="1182"/>
      <c r="Y1256" s="1182"/>
    </row>
    <row r="1257" spans="1:25" x14ac:dyDescent="0.2">
      <c r="A1257" s="1763"/>
      <c r="B1257" s="1763"/>
      <c r="C1257" s="1763"/>
      <c r="D1257" s="1763"/>
      <c r="E1257" s="1181"/>
      <c r="R1257" s="1182"/>
      <c r="S1257" s="1182"/>
      <c r="T1257" s="1182"/>
      <c r="U1257" s="1182"/>
      <c r="V1257" s="1182"/>
      <c r="W1257" s="1182"/>
      <c r="X1257" s="1182"/>
      <c r="Y1257" s="1182"/>
    </row>
    <row r="1258" spans="1:25" x14ac:dyDescent="0.2">
      <c r="A1258" s="1763"/>
      <c r="B1258" s="1763"/>
      <c r="C1258" s="1763"/>
      <c r="D1258" s="1763"/>
      <c r="E1258" s="1181"/>
      <c r="R1258" s="1182"/>
      <c r="S1258" s="1182"/>
      <c r="T1258" s="1182"/>
      <c r="U1258" s="1182"/>
      <c r="V1258" s="1182"/>
      <c r="W1258" s="1182"/>
      <c r="X1258" s="1182"/>
      <c r="Y1258" s="1182"/>
    </row>
    <row r="1259" spans="1:25" x14ac:dyDescent="0.2">
      <c r="A1259" s="1763"/>
      <c r="B1259" s="1763"/>
      <c r="C1259" s="1763"/>
      <c r="D1259" s="1763"/>
      <c r="E1259" s="1181"/>
      <c r="R1259" s="1182"/>
      <c r="S1259" s="1182"/>
      <c r="T1259" s="1182"/>
      <c r="U1259" s="1182"/>
      <c r="V1259" s="1182"/>
      <c r="W1259" s="1182"/>
      <c r="X1259" s="1182"/>
      <c r="Y1259" s="1182"/>
    </row>
    <row r="1260" spans="1:25" x14ac:dyDescent="0.2">
      <c r="A1260" s="1763"/>
      <c r="B1260" s="1763"/>
      <c r="C1260" s="1763"/>
      <c r="D1260" s="1763"/>
      <c r="E1260" s="1181"/>
      <c r="R1260" s="1182"/>
      <c r="S1260" s="1182"/>
      <c r="T1260" s="1182"/>
      <c r="U1260" s="1182"/>
      <c r="V1260" s="1182"/>
      <c r="W1260" s="1182"/>
      <c r="X1260" s="1182"/>
      <c r="Y1260" s="1182"/>
    </row>
    <row r="1261" spans="1:25" x14ac:dyDescent="0.2">
      <c r="A1261" s="1763"/>
      <c r="B1261" s="1763"/>
      <c r="C1261" s="1763"/>
      <c r="D1261" s="1763"/>
      <c r="E1261" s="1181"/>
      <c r="R1261" s="1182"/>
      <c r="S1261" s="1182"/>
      <c r="T1261" s="1182"/>
      <c r="U1261" s="1182"/>
      <c r="V1261" s="1182"/>
      <c r="W1261" s="1182"/>
      <c r="X1261" s="1182"/>
      <c r="Y1261" s="1182"/>
    </row>
    <row r="1262" spans="1:25" x14ac:dyDescent="0.2">
      <c r="A1262" s="1763"/>
      <c r="B1262" s="1763"/>
      <c r="C1262" s="1763"/>
      <c r="D1262" s="1763"/>
      <c r="E1262" s="1181"/>
      <c r="R1262" s="1182"/>
      <c r="S1262" s="1182"/>
      <c r="T1262" s="1182"/>
      <c r="U1262" s="1182"/>
      <c r="V1262" s="1182"/>
      <c r="W1262" s="1182"/>
      <c r="X1262" s="1182"/>
      <c r="Y1262" s="1182"/>
    </row>
    <row r="1263" spans="1:25" x14ac:dyDescent="0.2">
      <c r="A1263" s="1763"/>
      <c r="B1263" s="1763"/>
      <c r="C1263" s="1763"/>
      <c r="D1263" s="1763"/>
      <c r="E1263" s="1181"/>
      <c r="R1263" s="1182"/>
      <c r="S1263" s="1182"/>
      <c r="T1263" s="1182"/>
      <c r="U1263" s="1182"/>
      <c r="V1263" s="1182"/>
      <c r="W1263" s="1182"/>
      <c r="X1263" s="1182"/>
      <c r="Y1263" s="1182"/>
    </row>
    <row r="1264" spans="1:25" x14ac:dyDescent="0.2">
      <c r="A1264" s="1763"/>
      <c r="B1264" s="1763"/>
      <c r="C1264" s="1763"/>
      <c r="D1264" s="1763"/>
      <c r="E1264" s="1181"/>
      <c r="R1264" s="1182"/>
      <c r="S1264" s="1182"/>
      <c r="T1264" s="1182"/>
      <c r="U1264" s="1182"/>
      <c r="V1264" s="1182"/>
      <c r="W1264" s="1182"/>
      <c r="X1264" s="1182"/>
      <c r="Y1264" s="1182"/>
    </row>
    <row r="1265" spans="1:25" x14ac:dyDescent="0.2">
      <c r="A1265" s="1763"/>
      <c r="B1265" s="1763"/>
      <c r="C1265" s="1763"/>
      <c r="D1265" s="1763"/>
      <c r="E1265" s="1181"/>
      <c r="R1265" s="1182"/>
      <c r="S1265" s="1182"/>
      <c r="T1265" s="1182"/>
      <c r="U1265" s="1182"/>
      <c r="V1265" s="1182"/>
      <c r="W1265" s="1182"/>
      <c r="X1265" s="1182"/>
      <c r="Y1265" s="1182"/>
    </row>
    <row r="1266" spans="1:25" x14ac:dyDescent="0.2">
      <c r="A1266" s="1763"/>
      <c r="B1266" s="1763"/>
      <c r="C1266" s="1763"/>
      <c r="D1266" s="1763"/>
      <c r="E1266" s="1181"/>
      <c r="R1266" s="1182"/>
      <c r="S1266" s="1182"/>
      <c r="T1266" s="1182"/>
      <c r="U1266" s="1182"/>
      <c r="V1266" s="1182"/>
      <c r="W1266" s="1182"/>
      <c r="X1266" s="1182"/>
      <c r="Y1266" s="1182"/>
    </row>
    <row r="1267" spans="1:25" x14ac:dyDescent="0.2">
      <c r="A1267" s="1763"/>
      <c r="B1267" s="1763"/>
      <c r="C1267" s="1763"/>
      <c r="D1267" s="1763"/>
      <c r="E1267" s="1181"/>
      <c r="R1267" s="1182"/>
      <c r="S1267" s="1182"/>
      <c r="T1267" s="1182"/>
      <c r="U1267" s="1182"/>
      <c r="V1267" s="1182"/>
      <c r="W1267" s="1182"/>
      <c r="X1267" s="1182"/>
      <c r="Y1267" s="1182"/>
    </row>
    <row r="1268" spans="1:25" x14ac:dyDescent="0.2">
      <c r="A1268" s="1763"/>
      <c r="B1268" s="1763"/>
      <c r="C1268" s="1763"/>
      <c r="D1268" s="1763"/>
      <c r="E1268" s="1181"/>
      <c r="R1268" s="1182"/>
      <c r="S1268" s="1182"/>
      <c r="T1268" s="1182"/>
      <c r="U1268" s="1182"/>
      <c r="V1268" s="1182"/>
      <c r="W1268" s="1182"/>
      <c r="X1268" s="1182"/>
      <c r="Y1268" s="1182"/>
    </row>
    <row r="1269" spans="1:25" x14ac:dyDescent="0.2">
      <c r="A1269" s="1763"/>
      <c r="B1269" s="1763"/>
      <c r="C1269" s="1763"/>
      <c r="D1269" s="1763"/>
      <c r="E1269" s="1181"/>
      <c r="R1269" s="1182"/>
      <c r="S1269" s="1182"/>
      <c r="T1269" s="1182"/>
      <c r="U1269" s="1182"/>
      <c r="V1269" s="1182"/>
      <c r="W1269" s="1182"/>
      <c r="X1269" s="1182"/>
      <c r="Y1269" s="1182"/>
    </row>
    <row r="1270" spans="1:25" x14ac:dyDescent="0.2">
      <c r="A1270" s="1763"/>
      <c r="B1270" s="1763"/>
      <c r="C1270" s="1763"/>
      <c r="D1270" s="1763"/>
      <c r="E1270" s="1181"/>
      <c r="R1270" s="1182"/>
      <c r="S1270" s="1182"/>
      <c r="T1270" s="1182"/>
      <c r="U1270" s="1182"/>
      <c r="V1270" s="1182"/>
      <c r="W1270" s="1182"/>
      <c r="X1270" s="1182"/>
      <c r="Y1270" s="1182"/>
    </row>
    <row r="1271" spans="1:25" x14ac:dyDescent="0.2">
      <c r="A1271" s="1763"/>
      <c r="B1271" s="1763"/>
      <c r="C1271" s="1763"/>
      <c r="D1271" s="1763"/>
      <c r="E1271" s="1181"/>
      <c r="R1271" s="1182"/>
      <c r="S1271" s="1182"/>
      <c r="T1271" s="1182"/>
      <c r="U1271" s="1182"/>
      <c r="V1271" s="1182"/>
      <c r="W1271" s="1182"/>
      <c r="X1271" s="1182"/>
      <c r="Y1271" s="1182"/>
    </row>
    <row r="1272" spans="1:25" x14ac:dyDescent="0.2">
      <c r="A1272" s="1763"/>
      <c r="B1272" s="1763"/>
      <c r="C1272" s="1763"/>
      <c r="D1272" s="1763"/>
      <c r="E1272" s="1181"/>
      <c r="R1272" s="1182"/>
      <c r="S1272" s="1182"/>
      <c r="T1272" s="1182"/>
      <c r="U1272" s="1182"/>
      <c r="V1272" s="1182"/>
      <c r="W1272" s="1182"/>
      <c r="X1272" s="1182"/>
      <c r="Y1272" s="1182"/>
    </row>
    <row r="1273" spans="1:25" x14ac:dyDescent="0.2">
      <c r="A1273" s="1763"/>
      <c r="B1273" s="1763"/>
      <c r="C1273" s="1763"/>
      <c r="D1273" s="1763"/>
      <c r="E1273" s="1181"/>
      <c r="R1273" s="1182"/>
      <c r="S1273" s="1182"/>
      <c r="T1273" s="1182"/>
      <c r="U1273" s="1182"/>
      <c r="V1273" s="1182"/>
      <c r="W1273" s="1182"/>
      <c r="X1273" s="1182"/>
      <c r="Y1273" s="1182"/>
    </row>
    <row r="1274" spans="1:25" x14ac:dyDescent="0.2">
      <c r="A1274" s="1763"/>
      <c r="B1274" s="1763"/>
      <c r="C1274" s="1763"/>
      <c r="D1274" s="1763"/>
      <c r="E1274" s="1181"/>
      <c r="R1274" s="1182"/>
      <c r="S1274" s="1182"/>
      <c r="T1274" s="1182"/>
      <c r="U1274" s="1182"/>
      <c r="V1274" s="1182"/>
      <c r="W1274" s="1182"/>
      <c r="X1274" s="1182"/>
      <c r="Y1274" s="1182"/>
    </row>
    <row r="1275" spans="1:25" x14ac:dyDescent="0.2">
      <c r="A1275" s="1763"/>
      <c r="B1275" s="1763"/>
      <c r="C1275" s="1763"/>
      <c r="D1275" s="1763"/>
      <c r="E1275" s="1181"/>
      <c r="R1275" s="1182"/>
      <c r="S1275" s="1182"/>
      <c r="T1275" s="1182"/>
      <c r="U1275" s="1182"/>
      <c r="V1275" s="1182"/>
      <c r="W1275" s="1182"/>
      <c r="X1275" s="1182"/>
      <c r="Y1275" s="1182"/>
    </row>
    <row r="1276" spans="1:25" x14ac:dyDescent="0.2">
      <c r="A1276" s="1763"/>
      <c r="B1276" s="1763"/>
      <c r="C1276" s="1763"/>
      <c r="D1276" s="1763"/>
      <c r="E1276" s="1181"/>
      <c r="R1276" s="1182"/>
      <c r="S1276" s="1182"/>
      <c r="T1276" s="1182"/>
      <c r="U1276" s="1182"/>
      <c r="V1276" s="1182"/>
      <c r="W1276" s="1182"/>
      <c r="X1276" s="1182"/>
      <c r="Y1276" s="1182"/>
    </row>
    <row r="1277" spans="1:25" x14ac:dyDescent="0.2">
      <c r="A1277" s="1763"/>
      <c r="B1277" s="1763"/>
      <c r="C1277" s="1763"/>
      <c r="D1277" s="1763"/>
      <c r="E1277" s="1181"/>
      <c r="R1277" s="1182"/>
      <c r="S1277" s="1182"/>
      <c r="T1277" s="1182"/>
      <c r="U1277" s="1182"/>
      <c r="V1277" s="1182"/>
      <c r="W1277" s="1182"/>
      <c r="X1277" s="1182"/>
      <c r="Y1277" s="1182"/>
    </row>
    <row r="1278" spans="1:25" x14ac:dyDescent="0.2">
      <c r="A1278" s="1763"/>
      <c r="B1278" s="1763"/>
      <c r="C1278" s="1763"/>
      <c r="D1278" s="1763"/>
      <c r="E1278" s="1181"/>
      <c r="R1278" s="1182"/>
      <c r="S1278" s="1182"/>
      <c r="T1278" s="1182"/>
      <c r="U1278" s="1182"/>
      <c r="V1278" s="1182"/>
      <c r="W1278" s="1182"/>
      <c r="X1278" s="1182"/>
      <c r="Y1278" s="1182"/>
    </row>
    <row r="1279" spans="1:25" x14ac:dyDescent="0.2">
      <c r="A1279" s="1763"/>
      <c r="B1279" s="1763"/>
      <c r="C1279" s="1763"/>
      <c r="D1279" s="1763"/>
      <c r="E1279" s="1181"/>
      <c r="R1279" s="1182"/>
      <c r="S1279" s="1182"/>
      <c r="T1279" s="1182"/>
      <c r="U1279" s="1182"/>
      <c r="V1279" s="1182"/>
      <c r="W1279" s="1182"/>
      <c r="X1279" s="1182"/>
      <c r="Y1279" s="1182"/>
    </row>
    <row r="1280" spans="1:25" x14ac:dyDescent="0.2">
      <c r="A1280" s="1763"/>
      <c r="B1280" s="1763"/>
      <c r="C1280" s="1763"/>
      <c r="D1280" s="1763"/>
      <c r="E1280" s="1181"/>
      <c r="R1280" s="1182"/>
      <c r="S1280" s="1182"/>
      <c r="T1280" s="1182"/>
      <c r="U1280" s="1182"/>
      <c r="V1280" s="1182"/>
      <c r="W1280" s="1182"/>
      <c r="X1280" s="1182"/>
      <c r="Y1280" s="1182"/>
    </row>
    <row r="1281" spans="1:25" x14ac:dyDescent="0.2">
      <c r="A1281" s="1763"/>
      <c r="B1281" s="1763"/>
      <c r="C1281" s="1763"/>
      <c r="D1281" s="1763"/>
      <c r="E1281" s="1181"/>
      <c r="R1281" s="1182"/>
      <c r="S1281" s="1182"/>
      <c r="T1281" s="1182"/>
      <c r="U1281" s="1182"/>
      <c r="V1281" s="1182"/>
      <c r="W1281" s="1182"/>
      <c r="X1281" s="1182"/>
      <c r="Y1281" s="1182"/>
    </row>
    <row r="1282" spans="1:25" x14ac:dyDescent="0.2">
      <c r="A1282" s="1763"/>
      <c r="B1282" s="1763"/>
      <c r="C1282" s="1763"/>
      <c r="D1282" s="1763"/>
      <c r="E1282" s="1181"/>
      <c r="R1282" s="1182"/>
      <c r="S1282" s="1182"/>
      <c r="T1282" s="1182"/>
      <c r="U1282" s="1182"/>
      <c r="V1282" s="1182"/>
      <c r="W1282" s="1182"/>
      <c r="X1282" s="1182"/>
      <c r="Y1282" s="1182"/>
    </row>
    <row r="1283" spans="1:25" x14ac:dyDescent="0.2">
      <c r="A1283" s="1763"/>
      <c r="B1283" s="1763"/>
      <c r="C1283" s="1763"/>
      <c r="D1283" s="1763"/>
      <c r="E1283" s="1181"/>
      <c r="R1283" s="1182"/>
      <c r="S1283" s="1182"/>
      <c r="T1283" s="1182"/>
      <c r="U1283" s="1182"/>
      <c r="V1283" s="1182"/>
      <c r="W1283" s="1182"/>
      <c r="X1283" s="1182"/>
      <c r="Y1283" s="1182"/>
    </row>
    <row r="1284" spans="1:25" x14ac:dyDescent="0.2">
      <c r="A1284" s="1763"/>
      <c r="B1284" s="1763"/>
      <c r="C1284" s="1763"/>
      <c r="D1284" s="1763"/>
      <c r="E1284" s="1181"/>
      <c r="R1284" s="1182"/>
      <c r="S1284" s="1182"/>
      <c r="T1284" s="1182"/>
      <c r="U1284" s="1182"/>
      <c r="V1284" s="1182"/>
      <c r="W1284" s="1182"/>
      <c r="X1284" s="1182"/>
      <c r="Y1284" s="1182"/>
    </row>
    <row r="1285" spans="1:25" x14ac:dyDescent="0.2">
      <c r="A1285" s="1763"/>
      <c r="B1285" s="1763"/>
      <c r="C1285" s="1763"/>
      <c r="D1285" s="1763"/>
      <c r="E1285" s="1181"/>
      <c r="R1285" s="1182"/>
      <c r="S1285" s="1182"/>
      <c r="T1285" s="1182"/>
      <c r="U1285" s="1182"/>
      <c r="V1285" s="1182"/>
      <c r="W1285" s="1182"/>
      <c r="X1285" s="1182"/>
      <c r="Y1285" s="1182"/>
    </row>
    <row r="1286" spans="1:25" x14ac:dyDescent="0.2">
      <c r="A1286" s="1763"/>
      <c r="B1286" s="1763"/>
      <c r="C1286" s="1763"/>
      <c r="D1286" s="1763"/>
      <c r="E1286" s="1181"/>
      <c r="R1286" s="1182"/>
      <c r="S1286" s="1182"/>
      <c r="T1286" s="1182"/>
      <c r="U1286" s="1182"/>
      <c r="V1286" s="1182"/>
      <c r="W1286" s="1182"/>
      <c r="X1286" s="1182"/>
      <c r="Y1286" s="1182"/>
    </row>
    <row r="1287" spans="1:25" x14ac:dyDescent="0.2">
      <c r="A1287" s="1763"/>
      <c r="B1287" s="1763"/>
      <c r="C1287" s="1763"/>
      <c r="D1287" s="1763"/>
      <c r="E1287" s="1181"/>
      <c r="R1287" s="1182"/>
      <c r="S1287" s="1182"/>
      <c r="T1287" s="1182"/>
      <c r="U1287" s="1182"/>
      <c r="V1287" s="1182"/>
      <c r="W1287" s="1182"/>
      <c r="X1287" s="1182"/>
      <c r="Y1287" s="1182"/>
    </row>
    <row r="1288" spans="1:25" x14ac:dyDescent="0.2">
      <c r="A1288" s="1763"/>
      <c r="B1288" s="1763"/>
      <c r="C1288" s="1763"/>
      <c r="D1288" s="1763"/>
      <c r="E1288" s="1181"/>
      <c r="R1288" s="1182"/>
      <c r="S1288" s="1182"/>
      <c r="T1288" s="1182"/>
      <c r="U1288" s="1182"/>
      <c r="V1288" s="1182"/>
      <c r="W1288" s="1182"/>
      <c r="X1288" s="1182"/>
      <c r="Y1288" s="1182"/>
    </row>
    <row r="1289" spans="1:25" x14ac:dyDescent="0.2">
      <c r="A1289" s="1763"/>
      <c r="B1289" s="1763"/>
      <c r="C1289" s="1763"/>
      <c r="D1289" s="1763"/>
      <c r="E1289" s="1181"/>
      <c r="R1289" s="1182"/>
      <c r="S1289" s="1182"/>
      <c r="T1289" s="1182"/>
      <c r="U1289" s="1182"/>
      <c r="V1289" s="1182"/>
      <c r="W1289" s="1182"/>
      <c r="X1289" s="1182"/>
      <c r="Y1289" s="1182"/>
    </row>
    <row r="1290" spans="1:25" x14ac:dyDescent="0.2">
      <c r="A1290" s="1763"/>
      <c r="B1290" s="1763"/>
      <c r="C1290" s="1763"/>
      <c r="D1290" s="1763"/>
      <c r="E1290" s="1181"/>
      <c r="R1290" s="1182"/>
      <c r="S1290" s="1182"/>
      <c r="T1290" s="1182"/>
      <c r="U1290" s="1182"/>
      <c r="V1290" s="1182"/>
      <c r="W1290" s="1182"/>
      <c r="X1290" s="1182"/>
      <c r="Y1290" s="1182"/>
    </row>
    <row r="1291" spans="1:25" x14ac:dyDescent="0.2">
      <c r="A1291" s="1763"/>
      <c r="B1291" s="1763"/>
      <c r="C1291" s="1763"/>
      <c r="D1291" s="1763"/>
      <c r="E1291" s="1181"/>
      <c r="R1291" s="1182"/>
      <c r="S1291" s="1182"/>
      <c r="T1291" s="1182"/>
      <c r="U1291" s="1182"/>
      <c r="V1291" s="1182"/>
      <c r="W1291" s="1182"/>
      <c r="X1291" s="1182"/>
      <c r="Y1291" s="1182"/>
    </row>
    <row r="1292" spans="1:25" x14ac:dyDescent="0.2">
      <c r="A1292" s="1763"/>
      <c r="B1292" s="1763"/>
      <c r="C1292" s="1763"/>
      <c r="D1292" s="1763"/>
      <c r="E1292" s="1181"/>
      <c r="R1292" s="1182"/>
      <c r="S1292" s="1182"/>
      <c r="T1292" s="1182"/>
      <c r="U1292" s="1182"/>
      <c r="V1292" s="1182"/>
      <c r="W1292" s="1182"/>
      <c r="X1292" s="1182"/>
      <c r="Y1292" s="1182"/>
    </row>
    <row r="1293" spans="1:25" x14ac:dyDescent="0.2">
      <c r="A1293" s="1763"/>
      <c r="B1293" s="1763"/>
      <c r="C1293" s="1763"/>
      <c r="D1293" s="1763"/>
      <c r="E1293" s="1181"/>
      <c r="R1293" s="1182"/>
      <c r="S1293" s="1182"/>
      <c r="T1293" s="1182"/>
      <c r="U1293" s="1182"/>
      <c r="V1293" s="1182"/>
      <c r="W1293" s="1182"/>
      <c r="X1293" s="1182"/>
      <c r="Y1293" s="1182"/>
    </row>
    <row r="1294" spans="1:25" x14ac:dyDescent="0.2">
      <c r="A1294" s="1763"/>
      <c r="B1294" s="1763"/>
      <c r="C1294" s="1763"/>
      <c r="D1294" s="1763"/>
      <c r="E1294" s="1181"/>
      <c r="R1294" s="1182"/>
      <c r="S1294" s="1182"/>
      <c r="T1294" s="1182"/>
      <c r="U1294" s="1182"/>
      <c r="V1294" s="1182"/>
      <c r="W1294" s="1182"/>
      <c r="X1294" s="1182"/>
      <c r="Y1294" s="1182"/>
    </row>
    <row r="1295" spans="1:25" x14ac:dyDescent="0.2">
      <c r="A1295" s="1763"/>
      <c r="B1295" s="1763"/>
      <c r="C1295" s="1763"/>
      <c r="D1295" s="1763"/>
      <c r="E1295" s="1181"/>
      <c r="R1295" s="1182"/>
      <c r="S1295" s="1182"/>
      <c r="T1295" s="1182"/>
      <c r="U1295" s="1182"/>
      <c r="V1295" s="1182"/>
      <c r="W1295" s="1182"/>
      <c r="X1295" s="1182"/>
      <c r="Y1295" s="1182"/>
    </row>
    <row r="1296" spans="1:25" x14ac:dyDescent="0.2">
      <c r="A1296" s="1763"/>
      <c r="B1296" s="1763"/>
      <c r="C1296" s="1763"/>
      <c r="D1296" s="1763"/>
      <c r="E1296" s="1181"/>
      <c r="R1296" s="1182"/>
      <c r="S1296" s="1182"/>
      <c r="T1296" s="1182"/>
      <c r="U1296" s="1182"/>
      <c r="V1296" s="1182"/>
      <c r="W1296" s="1182"/>
      <c r="X1296" s="1182"/>
      <c r="Y1296" s="1182"/>
    </row>
    <row r="1297" spans="1:25" x14ac:dyDescent="0.2">
      <c r="A1297" s="1763"/>
      <c r="B1297" s="1763"/>
      <c r="C1297" s="1763"/>
      <c r="D1297" s="1763"/>
      <c r="E1297" s="1181"/>
      <c r="R1297" s="1182"/>
      <c r="S1297" s="1182"/>
      <c r="T1297" s="1182"/>
      <c r="U1297" s="1182"/>
      <c r="V1297" s="1182"/>
      <c r="W1297" s="1182"/>
      <c r="X1297" s="1182"/>
      <c r="Y1297" s="1182"/>
    </row>
    <row r="1298" spans="1:25" x14ac:dyDescent="0.2">
      <c r="A1298" s="1763"/>
      <c r="B1298" s="1763"/>
      <c r="C1298" s="1763"/>
      <c r="D1298" s="1763"/>
      <c r="E1298" s="1181"/>
      <c r="R1298" s="1182"/>
      <c r="S1298" s="1182"/>
      <c r="T1298" s="1182"/>
      <c r="U1298" s="1182"/>
      <c r="V1298" s="1182"/>
      <c r="W1298" s="1182"/>
      <c r="X1298" s="1182"/>
      <c r="Y1298" s="1182"/>
    </row>
    <row r="1299" spans="1:25" x14ac:dyDescent="0.2">
      <c r="A1299" s="1763"/>
      <c r="B1299" s="1763"/>
      <c r="C1299" s="1763"/>
      <c r="D1299" s="1763"/>
      <c r="E1299" s="1181"/>
      <c r="R1299" s="1182"/>
      <c r="S1299" s="1182"/>
      <c r="T1299" s="1182"/>
      <c r="U1299" s="1182"/>
      <c r="V1299" s="1182"/>
      <c r="W1299" s="1182"/>
      <c r="X1299" s="1182"/>
      <c r="Y1299" s="1182"/>
    </row>
    <row r="1300" spans="1:25" x14ac:dyDescent="0.2">
      <c r="A1300" s="1763"/>
      <c r="B1300" s="1763"/>
      <c r="C1300" s="1763"/>
      <c r="D1300" s="1763"/>
      <c r="E1300" s="1181"/>
      <c r="R1300" s="1182"/>
      <c r="S1300" s="1182"/>
      <c r="T1300" s="1182"/>
      <c r="U1300" s="1182"/>
      <c r="V1300" s="1182"/>
      <c r="W1300" s="1182"/>
      <c r="X1300" s="1182"/>
      <c r="Y1300" s="1182"/>
    </row>
    <row r="1301" spans="1:25" x14ac:dyDescent="0.2">
      <c r="A1301" s="1763"/>
      <c r="B1301" s="1763"/>
      <c r="C1301" s="1763"/>
      <c r="D1301" s="1763"/>
      <c r="E1301" s="1181"/>
      <c r="R1301" s="1182"/>
      <c r="S1301" s="1182"/>
      <c r="T1301" s="1182"/>
      <c r="U1301" s="1182"/>
      <c r="V1301" s="1182"/>
      <c r="W1301" s="1182"/>
      <c r="X1301" s="1182"/>
      <c r="Y1301" s="1182"/>
    </row>
    <row r="1302" spans="1:25" x14ac:dyDescent="0.2">
      <c r="A1302" s="1763"/>
      <c r="B1302" s="1763"/>
      <c r="C1302" s="1763"/>
      <c r="D1302" s="1763"/>
      <c r="E1302" s="1181"/>
      <c r="R1302" s="1182"/>
      <c r="S1302" s="1182"/>
      <c r="T1302" s="1182"/>
      <c r="U1302" s="1182"/>
      <c r="V1302" s="1182"/>
      <c r="W1302" s="1182"/>
      <c r="X1302" s="1182"/>
      <c r="Y1302" s="1182"/>
    </row>
    <row r="1303" spans="1:25" x14ac:dyDescent="0.2">
      <c r="A1303" s="1763"/>
      <c r="B1303" s="1763"/>
      <c r="C1303" s="1763"/>
      <c r="D1303" s="1763"/>
      <c r="E1303" s="1181"/>
      <c r="R1303" s="1182"/>
      <c r="S1303" s="1182"/>
      <c r="T1303" s="1182"/>
      <c r="U1303" s="1182"/>
      <c r="V1303" s="1182"/>
      <c r="W1303" s="1182"/>
      <c r="X1303" s="1182"/>
      <c r="Y1303" s="1182"/>
    </row>
    <row r="1304" spans="1:25" x14ac:dyDescent="0.2">
      <c r="A1304" s="1763"/>
      <c r="B1304" s="1763"/>
      <c r="C1304" s="1763"/>
      <c r="D1304" s="1763"/>
      <c r="E1304" s="1181"/>
      <c r="R1304" s="1182"/>
      <c r="S1304" s="1182"/>
      <c r="T1304" s="1182"/>
      <c r="U1304" s="1182"/>
      <c r="V1304" s="1182"/>
      <c r="W1304" s="1182"/>
      <c r="X1304" s="1182"/>
      <c r="Y1304" s="1182"/>
    </row>
    <row r="1305" spans="1:25" x14ac:dyDescent="0.2">
      <c r="A1305" s="1763"/>
      <c r="B1305" s="1763"/>
      <c r="C1305" s="1763"/>
      <c r="D1305" s="1763"/>
      <c r="E1305" s="1181"/>
      <c r="R1305" s="1182"/>
      <c r="S1305" s="1182"/>
      <c r="T1305" s="1182"/>
      <c r="U1305" s="1182"/>
      <c r="V1305" s="1182"/>
      <c r="W1305" s="1182"/>
      <c r="X1305" s="1182"/>
      <c r="Y1305" s="1182"/>
    </row>
    <row r="1306" spans="1:25" x14ac:dyDescent="0.2">
      <c r="A1306" s="1763"/>
      <c r="B1306" s="1763"/>
      <c r="C1306" s="1763"/>
      <c r="D1306" s="1763"/>
      <c r="E1306" s="1181"/>
      <c r="R1306" s="1182"/>
      <c r="S1306" s="1182"/>
      <c r="T1306" s="1182"/>
      <c r="U1306" s="1182"/>
      <c r="V1306" s="1182"/>
      <c r="W1306" s="1182"/>
      <c r="X1306" s="1182"/>
      <c r="Y1306" s="1182"/>
    </row>
    <row r="1307" spans="1:25" x14ac:dyDescent="0.2">
      <c r="A1307" s="1763"/>
      <c r="B1307" s="1763"/>
      <c r="C1307" s="1763"/>
      <c r="D1307" s="1763"/>
      <c r="E1307" s="1181"/>
      <c r="R1307" s="1182"/>
      <c r="S1307" s="1182"/>
      <c r="T1307" s="1182"/>
      <c r="U1307" s="1182"/>
      <c r="V1307" s="1182"/>
      <c r="W1307" s="1182"/>
      <c r="X1307" s="1182"/>
      <c r="Y1307" s="1182"/>
    </row>
    <row r="1308" spans="1:25" x14ac:dyDescent="0.2">
      <c r="A1308" s="1763"/>
      <c r="B1308" s="1763"/>
      <c r="C1308" s="1763"/>
      <c r="D1308" s="1763"/>
      <c r="E1308" s="1181"/>
      <c r="R1308" s="1182"/>
      <c r="S1308" s="1182"/>
      <c r="T1308" s="1182"/>
      <c r="U1308" s="1182"/>
      <c r="V1308" s="1182"/>
      <c r="W1308" s="1182"/>
      <c r="X1308" s="1182"/>
      <c r="Y1308" s="1182"/>
    </row>
    <row r="1309" spans="1:25" x14ac:dyDescent="0.2">
      <c r="A1309" s="1763"/>
      <c r="B1309" s="1763"/>
      <c r="C1309" s="1763"/>
      <c r="D1309" s="1763"/>
      <c r="E1309" s="1181"/>
      <c r="R1309" s="1182"/>
      <c r="S1309" s="1182"/>
      <c r="T1309" s="1182"/>
      <c r="U1309" s="1182"/>
      <c r="V1309" s="1182"/>
      <c r="W1309" s="1182"/>
      <c r="X1309" s="1182"/>
      <c r="Y1309" s="1182"/>
    </row>
    <row r="1310" spans="1:25" x14ac:dyDescent="0.2">
      <c r="A1310" s="1763"/>
      <c r="B1310" s="1763"/>
      <c r="C1310" s="1763"/>
      <c r="D1310" s="1763"/>
      <c r="E1310" s="1181"/>
      <c r="R1310" s="1182"/>
      <c r="S1310" s="1182"/>
      <c r="T1310" s="1182"/>
      <c r="U1310" s="1182"/>
      <c r="V1310" s="1182"/>
      <c r="W1310" s="1182"/>
      <c r="X1310" s="1182"/>
      <c r="Y1310" s="1182"/>
    </row>
    <row r="1311" spans="1:25" x14ac:dyDescent="0.2">
      <c r="A1311" s="1763"/>
      <c r="B1311" s="1763"/>
      <c r="C1311" s="1763"/>
      <c r="D1311" s="1763"/>
      <c r="E1311" s="1181"/>
      <c r="R1311" s="1182"/>
      <c r="S1311" s="1182"/>
      <c r="T1311" s="1182"/>
      <c r="U1311" s="1182"/>
      <c r="V1311" s="1182"/>
      <c r="W1311" s="1182"/>
      <c r="X1311" s="1182"/>
      <c r="Y1311" s="1182"/>
    </row>
    <row r="1312" spans="1:25" x14ac:dyDescent="0.2">
      <c r="A1312" s="1763"/>
      <c r="B1312" s="1763"/>
      <c r="C1312" s="1763"/>
      <c r="D1312" s="1763"/>
      <c r="E1312" s="1181"/>
      <c r="R1312" s="1182"/>
      <c r="S1312" s="1182"/>
      <c r="T1312" s="1182"/>
      <c r="U1312" s="1182"/>
      <c r="V1312" s="1182"/>
      <c r="W1312" s="1182"/>
      <c r="X1312" s="1182"/>
      <c r="Y1312" s="1182"/>
    </row>
    <row r="1313" spans="1:25" x14ac:dyDescent="0.2">
      <c r="A1313" s="1763"/>
      <c r="B1313" s="1763"/>
      <c r="C1313" s="1763"/>
      <c r="D1313" s="1763"/>
      <c r="E1313" s="1181"/>
      <c r="R1313" s="1182"/>
      <c r="S1313" s="1182"/>
      <c r="T1313" s="1182"/>
      <c r="U1313" s="1182"/>
      <c r="V1313" s="1182"/>
      <c r="W1313" s="1182"/>
      <c r="X1313" s="1182"/>
      <c r="Y1313" s="1182"/>
    </row>
    <row r="1314" spans="1:25" x14ac:dyDescent="0.2">
      <c r="A1314" s="1763"/>
      <c r="B1314" s="1763"/>
      <c r="C1314" s="1763"/>
      <c r="D1314" s="1763"/>
      <c r="E1314" s="1181"/>
      <c r="R1314" s="1182"/>
      <c r="S1314" s="1182"/>
      <c r="T1314" s="1182"/>
      <c r="U1314" s="1182"/>
      <c r="V1314" s="1182"/>
      <c r="W1314" s="1182"/>
      <c r="X1314" s="1182"/>
      <c r="Y1314" s="1182"/>
    </row>
    <row r="1315" spans="1:25" x14ac:dyDescent="0.2">
      <c r="A1315" s="1763"/>
      <c r="B1315" s="1763"/>
      <c r="C1315" s="1763"/>
      <c r="D1315" s="1763"/>
      <c r="E1315" s="1181"/>
      <c r="R1315" s="1182"/>
      <c r="S1315" s="1182"/>
      <c r="T1315" s="1182"/>
      <c r="U1315" s="1182"/>
      <c r="V1315" s="1182"/>
      <c r="W1315" s="1182"/>
      <c r="X1315" s="1182"/>
      <c r="Y1315" s="1182"/>
    </row>
    <row r="1316" spans="1:25" x14ac:dyDescent="0.2">
      <c r="A1316" s="1763"/>
      <c r="B1316" s="1763"/>
      <c r="C1316" s="1763"/>
      <c r="D1316" s="1763"/>
      <c r="E1316" s="1181"/>
      <c r="R1316" s="1182"/>
      <c r="S1316" s="1182"/>
      <c r="T1316" s="1182"/>
      <c r="U1316" s="1182"/>
      <c r="V1316" s="1182"/>
      <c r="W1316" s="1182"/>
      <c r="X1316" s="1182"/>
      <c r="Y1316" s="1182"/>
    </row>
    <row r="1317" spans="1:25" x14ac:dyDescent="0.2">
      <c r="A1317" s="1763"/>
      <c r="B1317" s="1763"/>
      <c r="C1317" s="1763"/>
      <c r="D1317" s="1763"/>
      <c r="E1317" s="1181"/>
      <c r="R1317" s="1182"/>
      <c r="S1317" s="1182"/>
      <c r="T1317" s="1182"/>
      <c r="U1317" s="1182"/>
      <c r="V1317" s="1182"/>
      <c r="W1317" s="1182"/>
      <c r="X1317" s="1182"/>
      <c r="Y1317" s="1182"/>
    </row>
    <row r="1318" spans="1:25" x14ac:dyDescent="0.2">
      <c r="A1318" s="1763"/>
      <c r="B1318" s="1763"/>
      <c r="C1318" s="1763"/>
      <c r="D1318" s="1763"/>
      <c r="E1318" s="1181"/>
      <c r="R1318" s="1182"/>
      <c r="S1318" s="1182"/>
      <c r="T1318" s="1182"/>
      <c r="U1318" s="1182"/>
      <c r="V1318" s="1182"/>
      <c r="W1318" s="1182"/>
      <c r="X1318" s="1182"/>
      <c r="Y1318" s="1182"/>
    </row>
    <row r="1319" spans="1:25" x14ac:dyDescent="0.2">
      <c r="A1319" s="1763"/>
      <c r="B1319" s="1763"/>
      <c r="C1319" s="1763"/>
      <c r="D1319" s="1763"/>
      <c r="E1319" s="1181"/>
      <c r="R1319" s="1182"/>
      <c r="S1319" s="1182"/>
      <c r="T1319" s="1182"/>
      <c r="U1319" s="1182"/>
      <c r="V1319" s="1182"/>
      <c r="W1319" s="1182"/>
      <c r="X1319" s="1182"/>
      <c r="Y1319" s="1182"/>
    </row>
    <row r="1320" spans="1:25" x14ac:dyDescent="0.2">
      <c r="A1320" s="1763"/>
      <c r="B1320" s="1763"/>
      <c r="C1320" s="1763"/>
      <c r="D1320" s="1763"/>
      <c r="E1320" s="1181"/>
      <c r="R1320" s="1182"/>
      <c r="S1320" s="1182"/>
      <c r="T1320" s="1182"/>
      <c r="U1320" s="1182"/>
      <c r="V1320" s="1182"/>
      <c r="W1320" s="1182"/>
      <c r="X1320" s="1182"/>
      <c r="Y1320" s="1182"/>
    </row>
    <row r="1321" spans="1:25" x14ac:dyDescent="0.2">
      <c r="A1321" s="1763"/>
      <c r="B1321" s="1763"/>
      <c r="C1321" s="1763"/>
      <c r="D1321" s="1763"/>
      <c r="E1321" s="1181"/>
      <c r="R1321" s="1182"/>
      <c r="S1321" s="1182"/>
      <c r="T1321" s="1182"/>
      <c r="U1321" s="1182"/>
      <c r="V1321" s="1182"/>
      <c r="W1321" s="1182"/>
      <c r="X1321" s="1182"/>
      <c r="Y1321" s="1182"/>
    </row>
    <row r="1322" spans="1:25" x14ac:dyDescent="0.2">
      <c r="A1322" s="1763"/>
      <c r="B1322" s="1763"/>
      <c r="C1322" s="1763"/>
      <c r="D1322" s="1763"/>
      <c r="E1322" s="1181"/>
      <c r="R1322" s="1182"/>
      <c r="S1322" s="1182"/>
      <c r="T1322" s="1182"/>
      <c r="U1322" s="1182"/>
      <c r="V1322" s="1182"/>
      <c r="W1322" s="1182"/>
      <c r="X1322" s="1182"/>
      <c r="Y1322" s="1182"/>
    </row>
    <row r="1323" spans="1:25" x14ac:dyDescent="0.2">
      <c r="A1323" s="1763"/>
      <c r="B1323" s="1763"/>
      <c r="C1323" s="1763"/>
      <c r="D1323" s="1763"/>
      <c r="E1323" s="1181"/>
      <c r="R1323" s="1182"/>
      <c r="S1323" s="1182"/>
      <c r="T1323" s="1182"/>
      <c r="U1323" s="1182"/>
      <c r="V1323" s="1182"/>
      <c r="W1323" s="1182"/>
      <c r="X1323" s="1182"/>
      <c r="Y1323" s="1182"/>
    </row>
    <row r="1324" spans="1:25" x14ac:dyDescent="0.2">
      <c r="A1324" s="1763"/>
      <c r="B1324" s="1763"/>
      <c r="C1324" s="1763"/>
      <c r="D1324" s="1763"/>
      <c r="E1324" s="1181"/>
      <c r="R1324" s="1182"/>
      <c r="S1324" s="1182"/>
      <c r="T1324" s="1182"/>
      <c r="U1324" s="1182"/>
      <c r="V1324" s="1182"/>
      <c r="W1324" s="1182"/>
      <c r="X1324" s="1182"/>
      <c r="Y1324" s="1182"/>
    </row>
    <row r="1325" spans="1:25" x14ac:dyDescent="0.2">
      <c r="A1325" s="1763"/>
      <c r="B1325" s="1763"/>
      <c r="C1325" s="1763"/>
      <c r="D1325" s="1763"/>
      <c r="E1325" s="1181"/>
      <c r="R1325" s="1182"/>
      <c r="S1325" s="1182"/>
      <c r="T1325" s="1182"/>
      <c r="U1325" s="1182"/>
      <c r="V1325" s="1182"/>
      <c r="W1325" s="1182"/>
      <c r="X1325" s="1182"/>
      <c r="Y1325" s="1182"/>
    </row>
    <row r="1326" spans="1:25" x14ac:dyDescent="0.2">
      <c r="A1326" s="1763"/>
      <c r="B1326" s="1763"/>
      <c r="C1326" s="1763"/>
      <c r="D1326" s="1763"/>
      <c r="E1326" s="1181"/>
      <c r="R1326" s="1182"/>
      <c r="S1326" s="1182"/>
      <c r="T1326" s="1182"/>
      <c r="U1326" s="1182"/>
      <c r="V1326" s="1182"/>
      <c r="W1326" s="1182"/>
      <c r="X1326" s="1182"/>
      <c r="Y1326" s="1182"/>
    </row>
    <row r="1327" spans="1:25" x14ac:dyDescent="0.2">
      <c r="A1327" s="1763"/>
      <c r="B1327" s="1763"/>
      <c r="C1327" s="1763"/>
      <c r="D1327" s="1763"/>
      <c r="E1327" s="1181"/>
      <c r="R1327" s="1182"/>
      <c r="S1327" s="1182"/>
      <c r="T1327" s="1182"/>
      <c r="U1327" s="1182"/>
      <c r="V1327" s="1182"/>
      <c r="W1327" s="1182"/>
      <c r="X1327" s="1182"/>
      <c r="Y1327" s="1182"/>
    </row>
    <row r="1328" spans="1:25" x14ac:dyDescent="0.2">
      <c r="A1328" s="1763"/>
      <c r="B1328" s="1763"/>
      <c r="C1328" s="1763"/>
      <c r="D1328" s="1763"/>
      <c r="E1328" s="1181"/>
      <c r="R1328" s="1182"/>
      <c r="S1328" s="1182"/>
      <c r="T1328" s="1182"/>
      <c r="U1328" s="1182"/>
      <c r="V1328" s="1182"/>
      <c r="W1328" s="1182"/>
      <c r="X1328" s="1182"/>
      <c r="Y1328" s="1182"/>
    </row>
    <row r="1329" spans="1:25" x14ac:dyDescent="0.2">
      <c r="A1329" s="1763"/>
      <c r="B1329" s="1763"/>
      <c r="C1329" s="1763"/>
      <c r="D1329" s="1763"/>
      <c r="E1329" s="1181"/>
      <c r="R1329" s="1182"/>
      <c r="S1329" s="1182"/>
      <c r="T1329" s="1182"/>
      <c r="U1329" s="1182"/>
      <c r="V1329" s="1182"/>
      <c r="W1329" s="1182"/>
      <c r="X1329" s="1182"/>
      <c r="Y1329" s="1182"/>
    </row>
    <row r="1330" spans="1:25" x14ac:dyDescent="0.2">
      <c r="A1330" s="1763"/>
      <c r="B1330" s="1763"/>
      <c r="C1330" s="1763"/>
      <c r="D1330" s="1763"/>
      <c r="E1330" s="1181"/>
      <c r="R1330" s="1182"/>
      <c r="S1330" s="1182"/>
      <c r="T1330" s="1182"/>
      <c r="U1330" s="1182"/>
      <c r="V1330" s="1182"/>
      <c r="W1330" s="1182"/>
      <c r="X1330" s="1182"/>
      <c r="Y1330" s="1182"/>
    </row>
    <row r="1331" spans="1:25" x14ac:dyDescent="0.2">
      <c r="A1331" s="1763"/>
      <c r="B1331" s="1763"/>
      <c r="C1331" s="1763"/>
      <c r="D1331" s="1763"/>
      <c r="E1331" s="1181"/>
      <c r="R1331" s="1182"/>
      <c r="S1331" s="1182"/>
      <c r="T1331" s="1182"/>
      <c r="U1331" s="1182"/>
      <c r="V1331" s="1182"/>
      <c r="W1331" s="1182"/>
      <c r="X1331" s="1182"/>
      <c r="Y1331" s="1182"/>
    </row>
    <row r="1332" spans="1:25" x14ac:dyDescent="0.2">
      <c r="A1332" s="1763"/>
      <c r="B1332" s="1763"/>
      <c r="C1332" s="1763"/>
      <c r="D1332" s="1763"/>
      <c r="E1332" s="1181"/>
      <c r="R1332" s="1182"/>
      <c r="S1332" s="1182"/>
      <c r="T1332" s="1182"/>
      <c r="U1332" s="1182"/>
      <c r="V1332" s="1182"/>
      <c r="W1332" s="1182"/>
      <c r="X1332" s="1182"/>
      <c r="Y1332" s="1182"/>
    </row>
    <row r="1333" spans="1:25" x14ac:dyDescent="0.2">
      <c r="A1333" s="1763"/>
      <c r="B1333" s="1763"/>
      <c r="C1333" s="1763"/>
      <c r="D1333" s="1763"/>
      <c r="E1333" s="1181"/>
      <c r="R1333" s="1182"/>
      <c r="S1333" s="1182"/>
      <c r="T1333" s="1182"/>
      <c r="U1333" s="1182"/>
      <c r="V1333" s="1182"/>
      <c r="W1333" s="1182"/>
      <c r="X1333" s="1182"/>
      <c r="Y1333" s="1182"/>
    </row>
    <row r="1334" spans="1:25" x14ac:dyDescent="0.2">
      <c r="A1334" s="1763"/>
      <c r="B1334" s="1763"/>
      <c r="C1334" s="1763"/>
      <c r="D1334" s="1763"/>
      <c r="E1334" s="1181"/>
      <c r="R1334" s="1182"/>
      <c r="S1334" s="1182"/>
      <c r="T1334" s="1182"/>
      <c r="U1334" s="1182"/>
      <c r="V1334" s="1182"/>
      <c r="W1334" s="1182"/>
      <c r="X1334" s="1182"/>
      <c r="Y1334" s="1182"/>
    </row>
    <row r="1335" spans="1:25" x14ac:dyDescent="0.2">
      <c r="A1335" s="1763"/>
      <c r="B1335" s="1763"/>
      <c r="C1335" s="1763"/>
      <c r="D1335" s="1763"/>
      <c r="E1335" s="1181"/>
      <c r="R1335" s="1182"/>
      <c r="S1335" s="1182"/>
      <c r="T1335" s="1182"/>
      <c r="U1335" s="1182"/>
      <c r="V1335" s="1182"/>
      <c r="W1335" s="1182"/>
      <c r="X1335" s="1182"/>
      <c r="Y1335" s="1182"/>
    </row>
    <row r="1336" spans="1:25" x14ac:dyDescent="0.2">
      <c r="A1336" s="1763"/>
      <c r="B1336" s="1763"/>
      <c r="C1336" s="1763"/>
      <c r="D1336" s="1763"/>
      <c r="E1336" s="1181"/>
      <c r="R1336" s="1182"/>
      <c r="S1336" s="1182"/>
      <c r="T1336" s="1182"/>
      <c r="U1336" s="1182"/>
      <c r="V1336" s="1182"/>
      <c r="W1336" s="1182"/>
      <c r="X1336" s="1182"/>
      <c r="Y1336" s="1182"/>
    </row>
    <row r="1337" spans="1:25" x14ac:dyDescent="0.2">
      <c r="A1337" s="1763"/>
      <c r="B1337" s="1763"/>
      <c r="C1337" s="1763"/>
      <c r="D1337" s="1763"/>
      <c r="E1337" s="1181"/>
      <c r="R1337" s="1182"/>
      <c r="S1337" s="1182"/>
      <c r="T1337" s="1182"/>
      <c r="U1337" s="1182"/>
      <c r="V1337" s="1182"/>
      <c r="W1337" s="1182"/>
      <c r="X1337" s="1182"/>
      <c r="Y1337" s="1182"/>
    </row>
    <row r="1338" spans="1:25" x14ac:dyDescent="0.2">
      <c r="A1338" s="1763"/>
      <c r="B1338" s="1763"/>
      <c r="C1338" s="1763"/>
      <c r="D1338" s="1763"/>
      <c r="E1338" s="1181"/>
      <c r="R1338" s="1182"/>
      <c r="S1338" s="1182"/>
      <c r="T1338" s="1182"/>
      <c r="U1338" s="1182"/>
      <c r="V1338" s="1182"/>
      <c r="W1338" s="1182"/>
      <c r="X1338" s="1182"/>
      <c r="Y1338" s="1182"/>
    </row>
    <row r="1339" spans="1:25" x14ac:dyDescent="0.2">
      <c r="A1339" s="1763"/>
      <c r="B1339" s="1763"/>
      <c r="C1339" s="1763"/>
      <c r="D1339" s="1763"/>
      <c r="E1339" s="1181"/>
      <c r="R1339" s="1182"/>
      <c r="S1339" s="1182"/>
      <c r="T1339" s="1182"/>
      <c r="U1339" s="1182"/>
      <c r="V1339" s="1182"/>
      <c r="W1339" s="1182"/>
      <c r="X1339" s="1182"/>
      <c r="Y1339" s="1182"/>
    </row>
    <row r="1340" spans="1:25" x14ac:dyDescent="0.2">
      <c r="A1340" s="1763"/>
      <c r="B1340" s="1763"/>
      <c r="C1340" s="1763"/>
      <c r="D1340" s="1763"/>
      <c r="E1340" s="1181"/>
      <c r="R1340" s="1182"/>
      <c r="S1340" s="1182"/>
      <c r="T1340" s="1182"/>
      <c r="U1340" s="1182"/>
      <c r="V1340" s="1182"/>
      <c r="W1340" s="1182"/>
      <c r="X1340" s="1182"/>
      <c r="Y1340" s="1182"/>
    </row>
    <row r="1341" spans="1:25" x14ac:dyDescent="0.2">
      <c r="A1341" s="1763"/>
      <c r="B1341" s="1763"/>
      <c r="C1341" s="1763"/>
      <c r="D1341" s="1763"/>
      <c r="E1341" s="1181"/>
      <c r="R1341" s="1182"/>
      <c r="S1341" s="1182"/>
      <c r="T1341" s="1182"/>
      <c r="U1341" s="1182"/>
      <c r="V1341" s="1182"/>
      <c r="W1341" s="1182"/>
      <c r="X1341" s="1182"/>
      <c r="Y1341" s="1182"/>
    </row>
    <row r="1342" spans="1:25" x14ac:dyDescent="0.2">
      <c r="A1342" s="1763"/>
      <c r="B1342" s="1763"/>
      <c r="C1342" s="1763"/>
      <c r="D1342" s="1763"/>
      <c r="E1342" s="1181"/>
      <c r="R1342" s="1182"/>
      <c r="S1342" s="1182"/>
      <c r="T1342" s="1182"/>
      <c r="U1342" s="1182"/>
      <c r="V1342" s="1182"/>
      <c r="W1342" s="1182"/>
      <c r="X1342" s="1182"/>
      <c r="Y1342" s="1182"/>
    </row>
    <row r="1343" spans="1:25" x14ac:dyDescent="0.2">
      <c r="A1343" s="1763"/>
      <c r="B1343" s="1763"/>
      <c r="C1343" s="1763"/>
      <c r="D1343" s="1763"/>
      <c r="E1343" s="1181"/>
      <c r="R1343" s="1182"/>
      <c r="S1343" s="1182"/>
      <c r="T1343" s="1182"/>
      <c r="U1343" s="1182"/>
      <c r="V1343" s="1182"/>
      <c r="W1343" s="1182"/>
      <c r="X1343" s="1182"/>
      <c r="Y1343" s="1182"/>
    </row>
    <row r="1344" spans="1:25" x14ac:dyDescent="0.2">
      <c r="A1344" s="1763"/>
      <c r="B1344" s="1763"/>
      <c r="C1344" s="1763"/>
      <c r="D1344" s="1763"/>
      <c r="E1344" s="1181"/>
      <c r="R1344" s="1182"/>
      <c r="S1344" s="1182"/>
      <c r="T1344" s="1182"/>
      <c r="U1344" s="1182"/>
      <c r="V1344" s="1182"/>
      <c r="W1344" s="1182"/>
      <c r="X1344" s="1182"/>
      <c r="Y1344" s="1182"/>
    </row>
    <row r="1345" spans="1:25" x14ac:dyDescent="0.2">
      <c r="A1345" s="1763"/>
      <c r="B1345" s="1763"/>
      <c r="C1345" s="1763"/>
      <c r="D1345" s="1763"/>
      <c r="E1345" s="1181"/>
      <c r="R1345" s="1182"/>
      <c r="S1345" s="1182"/>
      <c r="T1345" s="1182"/>
      <c r="U1345" s="1182"/>
      <c r="V1345" s="1182"/>
      <c r="W1345" s="1182"/>
      <c r="X1345" s="1182"/>
      <c r="Y1345" s="1182"/>
    </row>
    <row r="1346" spans="1:25" x14ac:dyDescent="0.2">
      <c r="A1346" s="1763"/>
      <c r="B1346" s="1763"/>
      <c r="C1346" s="1763"/>
      <c r="D1346" s="1763"/>
      <c r="E1346" s="1181"/>
      <c r="R1346" s="1182"/>
      <c r="S1346" s="1182"/>
      <c r="T1346" s="1182"/>
      <c r="U1346" s="1182"/>
      <c r="V1346" s="1182"/>
      <c r="W1346" s="1182"/>
      <c r="X1346" s="1182"/>
      <c r="Y1346" s="1182"/>
    </row>
    <row r="1347" spans="1:25" x14ac:dyDescent="0.2">
      <c r="A1347" s="1763"/>
      <c r="B1347" s="1763"/>
      <c r="C1347" s="1763"/>
      <c r="D1347" s="1763"/>
      <c r="E1347" s="1181"/>
      <c r="R1347" s="1182"/>
      <c r="S1347" s="1182"/>
      <c r="T1347" s="1182"/>
      <c r="U1347" s="1182"/>
      <c r="V1347" s="1182"/>
      <c r="W1347" s="1182"/>
      <c r="X1347" s="1182"/>
      <c r="Y1347" s="1182"/>
    </row>
    <row r="1348" spans="1:25" x14ac:dyDescent="0.2">
      <c r="A1348" s="1763"/>
      <c r="B1348" s="1763"/>
      <c r="C1348" s="1763"/>
      <c r="D1348" s="1763"/>
      <c r="E1348" s="1181"/>
      <c r="R1348" s="1182"/>
      <c r="S1348" s="1182"/>
      <c r="T1348" s="1182"/>
      <c r="U1348" s="1182"/>
      <c r="V1348" s="1182"/>
      <c r="W1348" s="1182"/>
      <c r="X1348" s="1182"/>
      <c r="Y1348" s="1182"/>
    </row>
    <row r="1349" spans="1:25" x14ac:dyDescent="0.2">
      <c r="A1349" s="1763"/>
      <c r="B1349" s="1763"/>
      <c r="C1349" s="1763"/>
      <c r="D1349" s="1763"/>
      <c r="E1349" s="1181"/>
      <c r="R1349" s="1182"/>
      <c r="S1349" s="1182"/>
      <c r="T1349" s="1182"/>
      <c r="U1349" s="1182"/>
      <c r="V1349" s="1182"/>
      <c r="W1349" s="1182"/>
      <c r="X1349" s="1182"/>
      <c r="Y1349" s="1182"/>
    </row>
    <row r="1350" spans="1:25" x14ac:dyDescent="0.2">
      <c r="A1350" s="1763"/>
      <c r="B1350" s="1763"/>
      <c r="C1350" s="1763"/>
      <c r="D1350" s="1763"/>
      <c r="E1350" s="1181"/>
      <c r="R1350" s="1182"/>
      <c r="S1350" s="1182"/>
      <c r="T1350" s="1182"/>
      <c r="U1350" s="1182"/>
      <c r="V1350" s="1182"/>
      <c r="W1350" s="1182"/>
      <c r="X1350" s="1182"/>
      <c r="Y1350" s="1182"/>
    </row>
    <row r="1351" spans="1:25" x14ac:dyDescent="0.2">
      <c r="A1351" s="1763"/>
      <c r="B1351" s="1763"/>
      <c r="C1351" s="1763"/>
      <c r="D1351" s="1763"/>
      <c r="E1351" s="1181"/>
      <c r="R1351" s="1182"/>
      <c r="S1351" s="1182"/>
      <c r="T1351" s="1182"/>
      <c r="U1351" s="1182"/>
      <c r="V1351" s="1182"/>
      <c r="W1351" s="1182"/>
      <c r="X1351" s="1182"/>
      <c r="Y1351" s="1182"/>
    </row>
    <row r="1352" spans="1:25" x14ac:dyDescent="0.2">
      <c r="A1352" s="1763"/>
      <c r="B1352" s="1763"/>
      <c r="C1352" s="1763"/>
      <c r="D1352" s="1763"/>
      <c r="E1352" s="1181"/>
      <c r="R1352" s="1182"/>
      <c r="S1352" s="1182"/>
      <c r="T1352" s="1182"/>
      <c r="U1352" s="1182"/>
      <c r="V1352" s="1182"/>
      <c r="W1352" s="1182"/>
      <c r="X1352" s="1182"/>
      <c r="Y1352" s="1182"/>
    </row>
    <row r="1353" spans="1:25" x14ac:dyDescent="0.2">
      <c r="A1353" s="1763"/>
      <c r="B1353" s="1763"/>
      <c r="C1353" s="1763"/>
      <c r="D1353" s="1763"/>
      <c r="E1353" s="1181"/>
      <c r="R1353" s="1182"/>
      <c r="S1353" s="1182"/>
      <c r="T1353" s="1182"/>
      <c r="U1353" s="1182"/>
      <c r="V1353" s="1182"/>
      <c r="W1353" s="1182"/>
      <c r="X1353" s="1182"/>
      <c r="Y1353" s="1182"/>
    </row>
    <row r="1354" spans="1:25" x14ac:dyDescent="0.2">
      <c r="A1354" s="1763"/>
      <c r="B1354" s="1763"/>
      <c r="C1354" s="1763"/>
      <c r="D1354" s="1763"/>
      <c r="E1354" s="1181"/>
      <c r="R1354" s="1182"/>
      <c r="S1354" s="1182"/>
      <c r="T1354" s="1182"/>
      <c r="U1354" s="1182"/>
      <c r="V1354" s="1182"/>
      <c r="W1354" s="1182"/>
      <c r="X1354" s="1182"/>
      <c r="Y1354" s="1182"/>
    </row>
    <row r="1355" spans="1:25" x14ac:dyDescent="0.2">
      <c r="A1355" s="1763"/>
      <c r="B1355" s="1763"/>
      <c r="C1355" s="1763"/>
      <c r="D1355" s="1763"/>
      <c r="E1355" s="1181"/>
      <c r="R1355" s="1182"/>
      <c r="S1355" s="1182"/>
      <c r="T1355" s="1182"/>
      <c r="U1355" s="1182"/>
      <c r="V1355" s="1182"/>
      <c r="W1355" s="1182"/>
      <c r="X1355" s="1182"/>
      <c r="Y1355" s="1182"/>
    </row>
    <row r="1356" spans="1:25" x14ac:dyDescent="0.2">
      <c r="A1356" s="1763"/>
      <c r="B1356" s="1763"/>
      <c r="C1356" s="1763"/>
      <c r="D1356" s="1763"/>
      <c r="E1356" s="1181"/>
      <c r="R1356" s="1182"/>
      <c r="S1356" s="1182"/>
      <c r="T1356" s="1182"/>
      <c r="U1356" s="1182"/>
      <c r="V1356" s="1182"/>
      <c r="W1356" s="1182"/>
      <c r="X1356" s="1182"/>
      <c r="Y1356" s="1182"/>
    </row>
    <row r="1357" spans="1:25" x14ac:dyDescent="0.2">
      <c r="A1357" s="1763"/>
      <c r="B1357" s="1763"/>
      <c r="C1357" s="1763"/>
      <c r="D1357" s="1763"/>
      <c r="E1357" s="1181"/>
      <c r="R1357" s="1182"/>
      <c r="S1357" s="1182"/>
      <c r="T1357" s="1182"/>
      <c r="U1357" s="1182"/>
      <c r="V1357" s="1182"/>
      <c r="W1357" s="1182"/>
      <c r="X1357" s="1182"/>
      <c r="Y1357" s="1182"/>
    </row>
    <row r="1358" spans="1:25" x14ac:dyDescent="0.2">
      <c r="A1358" s="1763"/>
      <c r="B1358" s="1763"/>
      <c r="C1358" s="1763"/>
      <c r="D1358" s="1763"/>
      <c r="E1358" s="1181"/>
      <c r="R1358" s="1182"/>
      <c r="S1358" s="1182"/>
      <c r="T1358" s="1182"/>
      <c r="U1358" s="1182"/>
      <c r="V1358" s="1182"/>
      <c r="W1358" s="1182"/>
      <c r="X1358" s="1182"/>
      <c r="Y1358" s="1182"/>
    </row>
    <row r="1359" spans="1:25" x14ac:dyDescent="0.2">
      <c r="A1359" s="1763"/>
      <c r="B1359" s="1763"/>
      <c r="C1359" s="1763"/>
      <c r="D1359" s="1763"/>
      <c r="E1359" s="1181"/>
      <c r="R1359" s="1182"/>
      <c r="S1359" s="1182"/>
      <c r="T1359" s="1182"/>
      <c r="U1359" s="1182"/>
      <c r="V1359" s="1182"/>
      <c r="W1359" s="1182"/>
      <c r="X1359" s="1182"/>
      <c r="Y1359" s="1182"/>
    </row>
    <row r="1360" spans="1:25" x14ac:dyDescent="0.2">
      <c r="A1360" s="1763"/>
      <c r="B1360" s="1763"/>
      <c r="C1360" s="1763"/>
      <c r="D1360" s="1763"/>
      <c r="E1360" s="1181"/>
      <c r="R1360" s="1182"/>
      <c r="S1360" s="1182"/>
      <c r="T1360" s="1182"/>
      <c r="U1360" s="1182"/>
      <c r="V1360" s="1182"/>
      <c r="W1360" s="1182"/>
      <c r="X1360" s="1182"/>
      <c r="Y1360" s="1182"/>
    </row>
    <row r="1361" spans="1:25" x14ac:dyDescent="0.2">
      <c r="A1361" s="1763"/>
      <c r="B1361" s="1763"/>
      <c r="C1361" s="1763"/>
      <c r="D1361" s="1763"/>
      <c r="E1361" s="1181"/>
      <c r="R1361" s="1182"/>
      <c r="S1361" s="1182"/>
      <c r="T1361" s="1182"/>
      <c r="U1361" s="1182"/>
      <c r="V1361" s="1182"/>
      <c r="W1361" s="1182"/>
      <c r="X1361" s="1182"/>
      <c r="Y1361" s="1182"/>
    </row>
    <row r="1362" spans="1:25" x14ac:dyDescent="0.2">
      <c r="A1362" s="1763"/>
      <c r="B1362" s="1763"/>
      <c r="C1362" s="1763"/>
      <c r="D1362" s="1763"/>
      <c r="E1362" s="1181"/>
      <c r="R1362" s="1182"/>
      <c r="S1362" s="1182"/>
      <c r="T1362" s="1182"/>
      <c r="U1362" s="1182"/>
      <c r="V1362" s="1182"/>
      <c r="W1362" s="1182"/>
      <c r="X1362" s="1182"/>
      <c r="Y1362" s="1182"/>
    </row>
    <row r="1363" spans="1:25" x14ac:dyDescent="0.2">
      <c r="A1363" s="1763"/>
      <c r="B1363" s="1763"/>
      <c r="C1363" s="1763"/>
      <c r="D1363" s="1763"/>
      <c r="E1363" s="1181"/>
      <c r="R1363" s="1182"/>
      <c r="S1363" s="1182"/>
      <c r="T1363" s="1182"/>
      <c r="U1363" s="1182"/>
      <c r="V1363" s="1182"/>
      <c r="W1363" s="1182"/>
      <c r="X1363" s="1182"/>
      <c r="Y1363" s="1182"/>
    </row>
    <row r="1364" spans="1:25" x14ac:dyDescent="0.2">
      <c r="A1364" s="1763"/>
      <c r="B1364" s="1763"/>
      <c r="C1364" s="1763"/>
      <c r="D1364" s="1763"/>
      <c r="E1364" s="1181"/>
      <c r="R1364" s="1182"/>
      <c r="S1364" s="1182"/>
      <c r="T1364" s="1182"/>
      <c r="U1364" s="1182"/>
      <c r="V1364" s="1182"/>
      <c r="W1364" s="1182"/>
      <c r="X1364" s="1182"/>
      <c r="Y1364" s="1182"/>
    </row>
    <row r="1365" spans="1:25" x14ac:dyDescent="0.2">
      <c r="A1365" s="1763"/>
      <c r="B1365" s="1763"/>
      <c r="C1365" s="1763"/>
      <c r="D1365" s="1763"/>
      <c r="E1365" s="1181"/>
      <c r="R1365" s="1182"/>
      <c r="S1365" s="1182"/>
      <c r="T1365" s="1182"/>
      <c r="U1365" s="1182"/>
      <c r="V1365" s="1182"/>
      <c r="W1365" s="1182"/>
      <c r="X1365" s="1182"/>
      <c r="Y1365" s="1182"/>
    </row>
    <row r="1366" spans="1:25" x14ac:dyDescent="0.2">
      <c r="A1366" s="1763"/>
      <c r="B1366" s="1763"/>
      <c r="C1366" s="1763"/>
      <c r="D1366" s="1763"/>
      <c r="E1366" s="1181"/>
      <c r="R1366" s="1182"/>
      <c r="S1366" s="1182"/>
      <c r="T1366" s="1182"/>
      <c r="U1366" s="1182"/>
      <c r="V1366" s="1182"/>
      <c r="W1366" s="1182"/>
      <c r="X1366" s="1182"/>
      <c r="Y1366" s="1182"/>
    </row>
    <row r="1367" spans="1:25" x14ac:dyDescent="0.2">
      <c r="A1367" s="1763"/>
      <c r="B1367" s="1763"/>
      <c r="C1367" s="1763"/>
      <c r="D1367" s="1763"/>
      <c r="E1367" s="1181"/>
      <c r="R1367" s="1182"/>
      <c r="S1367" s="1182"/>
      <c r="T1367" s="1182"/>
      <c r="U1367" s="1182"/>
      <c r="V1367" s="1182"/>
      <c r="W1367" s="1182"/>
      <c r="X1367" s="1182"/>
      <c r="Y1367" s="1182"/>
    </row>
    <row r="1368" spans="1:25" x14ac:dyDescent="0.2">
      <c r="A1368" s="1763"/>
      <c r="B1368" s="1763"/>
      <c r="C1368" s="1763"/>
      <c r="D1368" s="1763"/>
      <c r="E1368" s="1181"/>
      <c r="R1368" s="1182"/>
      <c r="S1368" s="1182"/>
      <c r="T1368" s="1182"/>
      <c r="U1368" s="1182"/>
      <c r="V1368" s="1182"/>
      <c r="W1368" s="1182"/>
      <c r="X1368" s="1182"/>
      <c r="Y1368" s="1182"/>
    </row>
    <row r="1369" spans="1:25" x14ac:dyDescent="0.2">
      <c r="A1369" s="1763"/>
      <c r="B1369" s="1763"/>
      <c r="C1369" s="1763"/>
      <c r="D1369" s="1763"/>
      <c r="E1369" s="1181"/>
      <c r="R1369" s="1182"/>
      <c r="S1369" s="1182"/>
      <c r="T1369" s="1182"/>
      <c r="U1369" s="1182"/>
      <c r="V1369" s="1182"/>
      <c r="W1369" s="1182"/>
      <c r="X1369" s="1182"/>
      <c r="Y1369" s="1182"/>
    </row>
    <row r="1370" spans="1:25" x14ac:dyDescent="0.2">
      <c r="A1370" s="1763"/>
      <c r="B1370" s="1763"/>
      <c r="C1370" s="1763"/>
      <c r="D1370" s="1763"/>
      <c r="E1370" s="1181"/>
      <c r="R1370" s="1182"/>
      <c r="S1370" s="1182"/>
      <c r="T1370" s="1182"/>
      <c r="U1370" s="1182"/>
      <c r="V1370" s="1182"/>
      <c r="W1370" s="1182"/>
      <c r="X1370" s="1182"/>
      <c r="Y1370" s="1182"/>
    </row>
    <row r="1371" spans="1:25" x14ac:dyDescent="0.2">
      <c r="A1371" s="1763"/>
      <c r="B1371" s="1763"/>
      <c r="C1371" s="1763"/>
      <c r="D1371" s="1763"/>
      <c r="E1371" s="1181"/>
      <c r="R1371" s="1182"/>
      <c r="S1371" s="1182"/>
      <c r="T1371" s="1182"/>
      <c r="U1371" s="1182"/>
      <c r="V1371" s="1182"/>
      <c r="W1371" s="1182"/>
      <c r="X1371" s="1182"/>
      <c r="Y1371" s="1182"/>
    </row>
    <row r="1372" spans="1:25" x14ac:dyDescent="0.2">
      <c r="A1372" s="1763"/>
      <c r="B1372" s="1763"/>
      <c r="C1372" s="1763"/>
      <c r="D1372" s="1763"/>
      <c r="E1372" s="1181"/>
      <c r="R1372" s="1182"/>
      <c r="S1372" s="1182"/>
      <c r="T1372" s="1182"/>
      <c r="U1372" s="1182"/>
      <c r="V1372" s="1182"/>
      <c r="W1372" s="1182"/>
      <c r="X1372" s="1182"/>
      <c r="Y1372" s="1182"/>
    </row>
    <row r="1373" spans="1:25" x14ac:dyDescent="0.2">
      <c r="A1373" s="1763"/>
      <c r="B1373" s="1763"/>
      <c r="C1373" s="1763"/>
      <c r="D1373" s="1763"/>
      <c r="E1373" s="1181"/>
      <c r="R1373" s="1182"/>
      <c r="S1373" s="1182"/>
      <c r="T1373" s="1182"/>
      <c r="U1373" s="1182"/>
      <c r="V1373" s="1182"/>
      <c r="W1373" s="1182"/>
      <c r="X1373" s="1182"/>
      <c r="Y1373" s="1182"/>
    </row>
    <row r="1374" spans="1:25" x14ac:dyDescent="0.2">
      <c r="A1374" s="1763"/>
      <c r="B1374" s="1763"/>
      <c r="C1374" s="1763"/>
      <c r="D1374" s="1763"/>
      <c r="E1374" s="1181"/>
      <c r="R1374" s="1182"/>
      <c r="S1374" s="1182"/>
      <c r="T1374" s="1182"/>
      <c r="U1374" s="1182"/>
      <c r="V1374" s="1182"/>
      <c r="W1374" s="1182"/>
      <c r="X1374" s="1182"/>
      <c r="Y1374" s="1182"/>
    </row>
    <row r="1375" spans="1:25" x14ac:dyDescent="0.2">
      <c r="A1375" s="1763"/>
      <c r="B1375" s="1763"/>
      <c r="C1375" s="1763"/>
      <c r="D1375" s="1763"/>
      <c r="E1375" s="1181"/>
      <c r="R1375" s="1182"/>
      <c r="S1375" s="1182"/>
      <c r="T1375" s="1182"/>
      <c r="U1375" s="1182"/>
      <c r="V1375" s="1182"/>
      <c r="W1375" s="1182"/>
      <c r="X1375" s="1182"/>
      <c r="Y1375" s="1182"/>
    </row>
    <row r="1376" spans="1:25" x14ac:dyDescent="0.2">
      <c r="A1376" s="1763"/>
      <c r="B1376" s="1763"/>
      <c r="C1376" s="1763"/>
      <c r="D1376" s="1763"/>
      <c r="E1376" s="1181"/>
      <c r="R1376" s="1182"/>
      <c r="S1376" s="1182"/>
      <c r="T1376" s="1182"/>
      <c r="U1376" s="1182"/>
      <c r="V1376" s="1182"/>
      <c r="W1376" s="1182"/>
      <c r="X1376" s="1182"/>
      <c r="Y1376" s="1182"/>
    </row>
    <row r="1377" spans="1:25" x14ac:dyDescent="0.2">
      <c r="A1377" s="1763"/>
      <c r="B1377" s="1763"/>
      <c r="C1377" s="1763"/>
      <c r="D1377" s="1763"/>
      <c r="E1377" s="1181"/>
      <c r="R1377" s="1182"/>
      <c r="S1377" s="1182"/>
      <c r="T1377" s="1182"/>
      <c r="U1377" s="1182"/>
      <c r="V1377" s="1182"/>
      <c r="W1377" s="1182"/>
      <c r="X1377" s="1182"/>
      <c r="Y1377" s="1182"/>
    </row>
    <row r="1378" spans="1:25" x14ac:dyDescent="0.2">
      <c r="A1378" s="1763"/>
      <c r="B1378" s="1763"/>
      <c r="C1378" s="1763"/>
      <c r="D1378" s="1763"/>
      <c r="E1378" s="1181"/>
      <c r="R1378" s="1182"/>
      <c r="S1378" s="1182"/>
      <c r="T1378" s="1182"/>
      <c r="U1378" s="1182"/>
      <c r="V1378" s="1182"/>
      <c r="W1378" s="1182"/>
      <c r="X1378" s="1182"/>
      <c r="Y1378" s="1182"/>
    </row>
    <row r="1379" spans="1:25" x14ac:dyDescent="0.2">
      <c r="A1379" s="1763"/>
      <c r="B1379" s="1763"/>
      <c r="C1379" s="1763"/>
      <c r="D1379" s="1763"/>
      <c r="E1379" s="1181"/>
      <c r="R1379" s="1182"/>
      <c r="S1379" s="1182"/>
      <c r="T1379" s="1182"/>
      <c r="U1379" s="1182"/>
      <c r="V1379" s="1182"/>
      <c r="W1379" s="1182"/>
      <c r="X1379" s="1182"/>
      <c r="Y1379" s="1182"/>
    </row>
    <row r="1380" spans="1:25" x14ac:dyDescent="0.2">
      <c r="A1380" s="1763"/>
      <c r="B1380" s="1763"/>
      <c r="C1380" s="1763"/>
      <c r="D1380" s="1763"/>
      <c r="E1380" s="1181"/>
      <c r="R1380" s="1182"/>
      <c r="S1380" s="1182"/>
      <c r="T1380" s="1182"/>
      <c r="U1380" s="1182"/>
      <c r="V1380" s="1182"/>
      <c r="W1380" s="1182"/>
      <c r="X1380" s="1182"/>
      <c r="Y1380" s="1182"/>
    </row>
    <row r="1381" spans="1:25" x14ac:dyDescent="0.2">
      <c r="A1381" s="1763"/>
      <c r="B1381" s="1763"/>
      <c r="C1381" s="1763"/>
      <c r="D1381" s="1763"/>
      <c r="E1381" s="1181"/>
      <c r="R1381" s="1182"/>
      <c r="S1381" s="1182"/>
      <c r="T1381" s="1182"/>
      <c r="U1381" s="1182"/>
      <c r="V1381" s="1182"/>
      <c r="W1381" s="1182"/>
      <c r="X1381" s="1182"/>
      <c r="Y1381" s="1182"/>
    </row>
    <row r="1382" spans="1:25" x14ac:dyDescent="0.2">
      <c r="A1382" s="1763"/>
      <c r="B1382" s="1763"/>
      <c r="C1382" s="1763"/>
      <c r="D1382" s="1763"/>
      <c r="E1382" s="1181"/>
      <c r="R1382" s="1182"/>
      <c r="S1382" s="1182"/>
      <c r="T1382" s="1182"/>
      <c r="U1382" s="1182"/>
      <c r="V1382" s="1182"/>
      <c r="W1382" s="1182"/>
      <c r="X1382" s="1182"/>
      <c r="Y1382" s="1182"/>
    </row>
    <row r="1383" spans="1:25" x14ac:dyDescent="0.2">
      <c r="A1383" s="1763"/>
      <c r="B1383" s="1763"/>
      <c r="C1383" s="1763"/>
      <c r="D1383" s="1763"/>
      <c r="E1383" s="1181"/>
      <c r="R1383" s="1182"/>
      <c r="S1383" s="1182"/>
      <c r="T1383" s="1182"/>
      <c r="U1383" s="1182"/>
      <c r="V1383" s="1182"/>
      <c r="W1383" s="1182"/>
      <c r="X1383" s="1182"/>
      <c r="Y1383" s="1182"/>
    </row>
    <row r="1384" spans="1:25" x14ac:dyDescent="0.2">
      <c r="A1384" s="1763"/>
      <c r="B1384" s="1763"/>
      <c r="C1384" s="1763"/>
      <c r="D1384" s="1763"/>
      <c r="E1384" s="1181"/>
      <c r="R1384" s="1182"/>
      <c r="S1384" s="1182"/>
      <c r="T1384" s="1182"/>
      <c r="U1384" s="1182"/>
      <c r="V1384" s="1182"/>
      <c r="W1384" s="1182"/>
      <c r="X1384" s="1182"/>
      <c r="Y1384" s="1182"/>
    </row>
    <row r="1385" spans="1:25" x14ac:dyDescent="0.2">
      <c r="A1385" s="1763"/>
      <c r="B1385" s="1763"/>
      <c r="C1385" s="1763"/>
      <c r="D1385" s="1763"/>
      <c r="E1385" s="1181"/>
      <c r="R1385" s="1182"/>
      <c r="S1385" s="1182"/>
      <c r="T1385" s="1182"/>
      <c r="U1385" s="1182"/>
      <c r="V1385" s="1182"/>
      <c r="W1385" s="1182"/>
      <c r="X1385" s="1182"/>
      <c r="Y1385" s="1182"/>
    </row>
    <row r="1386" spans="1:25" x14ac:dyDescent="0.2">
      <c r="A1386" s="1763"/>
      <c r="B1386" s="1763"/>
      <c r="C1386" s="1763"/>
      <c r="D1386" s="1763"/>
      <c r="E1386" s="1181"/>
      <c r="R1386" s="1182"/>
      <c r="S1386" s="1182"/>
      <c r="T1386" s="1182"/>
      <c r="U1386" s="1182"/>
      <c r="V1386" s="1182"/>
      <c r="W1386" s="1182"/>
      <c r="X1386" s="1182"/>
      <c r="Y1386" s="1182"/>
    </row>
    <row r="1387" spans="1:25" x14ac:dyDescent="0.2">
      <c r="A1387" s="1763"/>
      <c r="B1387" s="1763"/>
      <c r="C1387" s="1763"/>
      <c r="D1387" s="1763"/>
      <c r="E1387" s="1181"/>
      <c r="R1387" s="1182"/>
      <c r="S1387" s="1182"/>
      <c r="T1387" s="1182"/>
      <c r="U1387" s="1182"/>
      <c r="V1387" s="1182"/>
      <c r="W1387" s="1182"/>
      <c r="X1387" s="1182"/>
      <c r="Y1387" s="1182"/>
    </row>
    <row r="1388" spans="1:25" x14ac:dyDescent="0.2">
      <c r="A1388" s="1763"/>
      <c r="B1388" s="1763"/>
      <c r="C1388" s="1763"/>
      <c r="D1388" s="1763"/>
      <c r="E1388" s="1181"/>
      <c r="R1388" s="1182"/>
      <c r="S1388" s="1182"/>
      <c r="T1388" s="1182"/>
      <c r="U1388" s="1182"/>
      <c r="V1388" s="1182"/>
      <c r="W1388" s="1182"/>
      <c r="X1388" s="1182"/>
      <c r="Y1388" s="1182"/>
    </row>
    <row r="1389" spans="1:25" x14ac:dyDescent="0.2">
      <c r="A1389" s="1763"/>
      <c r="B1389" s="1763"/>
      <c r="C1389" s="1763"/>
      <c r="D1389" s="1763"/>
      <c r="E1389" s="1181"/>
      <c r="R1389" s="1182"/>
      <c r="S1389" s="1182"/>
      <c r="T1389" s="1182"/>
      <c r="U1389" s="1182"/>
      <c r="V1389" s="1182"/>
      <c r="W1389" s="1182"/>
      <c r="X1389" s="1182"/>
      <c r="Y1389" s="1182"/>
    </row>
    <row r="1390" spans="1:25" x14ac:dyDescent="0.2">
      <c r="A1390" s="1763"/>
      <c r="B1390" s="1763"/>
      <c r="C1390" s="1763"/>
      <c r="D1390" s="1763"/>
      <c r="E1390" s="1181"/>
      <c r="R1390" s="1182"/>
      <c r="S1390" s="1182"/>
      <c r="T1390" s="1182"/>
      <c r="U1390" s="1182"/>
      <c r="V1390" s="1182"/>
      <c r="W1390" s="1182"/>
      <c r="X1390" s="1182"/>
      <c r="Y1390" s="1182"/>
    </row>
    <row r="1391" spans="1:25" x14ac:dyDescent="0.2">
      <c r="A1391" s="1763"/>
      <c r="B1391" s="1763"/>
      <c r="C1391" s="1763"/>
      <c r="D1391" s="1763"/>
      <c r="E1391" s="1181"/>
      <c r="R1391" s="1182"/>
      <c r="S1391" s="1182"/>
      <c r="T1391" s="1182"/>
      <c r="U1391" s="1182"/>
      <c r="V1391" s="1182"/>
      <c r="W1391" s="1182"/>
      <c r="X1391" s="1182"/>
      <c r="Y1391" s="1182"/>
    </row>
    <row r="1392" spans="1:25" x14ac:dyDescent="0.2">
      <c r="A1392" s="1763"/>
      <c r="B1392" s="1763"/>
      <c r="C1392" s="1763"/>
      <c r="D1392" s="1763"/>
      <c r="E1392" s="1181"/>
      <c r="R1392" s="1182"/>
      <c r="S1392" s="1182"/>
      <c r="T1392" s="1182"/>
      <c r="U1392" s="1182"/>
      <c r="V1392" s="1182"/>
      <c r="W1392" s="1182"/>
      <c r="X1392" s="1182"/>
      <c r="Y1392" s="1182"/>
    </row>
    <row r="1393" spans="1:25" x14ac:dyDescent="0.2">
      <c r="A1393" s="1763"/>
      <c r="B1393" s="1763"/>
      <c r="C1393" s="1763"/>
      <c r="D1393" s="1763"/>
      <c r="E1393" s="1181"/>
      <c r="R1393" s="1182"/>
      <c r="S1393" s="1182"/>
      <c r="T1393" s="1182"/>
      <c r="U1393" s="1182"/>
      <c r="V1393" s="1182"/>
      <c r="W1393" s="1182"/>
      <c r="X1393" s="1182"/>
      <c r="Y1393" s="1182"/>
    </row>
    <row r="1394" spans="1:25" x14ac:dyDescent="0.2">
      <c r="A1394" s="1763"/>
      <c r="B1394" s="1763"/>
      <c r="C1394" s="1763"/>
      <c r="D1394" s="1763"/>
      <c r="E1394" s="1181"/>
      <c r="R1394" s="1182"/>
      <c r="S1394" s="1182"/>
      <c r="T1394" s="1182"/>
      <c r="U1394" s="1182"/>
      <c r="V1394" s="1182"/>
      <c r="W1394" s="1182"/>
      <c r="X1394" s="1182"/>
      <c r="Y1394" s="1182"/>
    </row>
    <row r="1395" spans="1:25" x14ac:dyDescent="0.2">
      <c r="A1395" s="1763"/>
      <c r="B1395" s="1763"/>
      <c r="C1395" s="1763"/>
      <c r="D1395" s="1763"/>
      <c r="E1395" s="1181"/>
      <c r="R1395" s="1182"/>
      <c r="S1395" s="1182"/>
      <c r="T1395" s="1182"/>
      <c r="U1395" s="1182"/>
      <c r="V1395" s="1182"/>
      <c r="W1395" s="1182"/>
      <c r="X1395" s="1182"/>
      <c r="Y1395" s="1182"/>
    </row>
    <row r="1396" spans="1:25" x14ac:dyDescent="0.2">
      <c r="A1396" s="1763"/>
      <c r="B1396" s="1763"/>
      <c r="C1396" s="1763"/>
      <c r="D1396" s="1763"/>
      <c r="E1396" s="1181"/>
      <c r="R1396" s="1182"/>
      <c r="S1396" s="1182"/>
      <c r="T1396" s="1182"/>
      <c r="U1396" s="1182"/>
      <c r="V1396" s="1182"/>
      <c r="W1396" s="1182"/>
      <c r="X1396" s="1182"/>
      <c r="Y1396" s="1182"/>
    </row>
    <row r="1397" spans="1:25" x14ac:dyDescent="0.2">
      <c r="A1397" s="1763"/>
      <c r="B1397" s="1763"/>
      <c r="C1397" s="1763"/>
      <c r="D1397" s="1763"/>
      <c r="E1397" s="1181"/>
      <c r="R1397" s="1182"/>
      <c r="S1397" s="1182"/>
      <c r="T1397" s="1182"/>
      <c r="U1397" s="1182"/>
      <c r="V1397" s="1182"/>
      <c r="W1397" s="1182"/>
      <c r="X1397" s="1182"/>
      <c r="Y1397" s="1182"/>
    </row>
    <row r="1398" spans="1:25" x14ac:dyDescent="0.2">
      <c r="A1398" s="1763"/>
      <c r="B1398" s="1763"/>
      <c r="C1398" s="1763"/>
      <c r="D1398" s="1763"/>
      <c r="E1398" s="1181"/>
      <c r="R1398" s="1182"/>
      <c r="S1398" s="1182"/>
      <c r="T1398" s="1182"/>
      <c r="U1398" s="1182"/>
      <c r="V1398" s="1182"/>
      <c r="W1398" s="1182"/>
      <c r="X1398" s="1182"/>
      <c r="Y1398" s="1182"/>
    </row>
    <row r="1399" spans="1:25" x14ac:dyDescent="0.2">
      <c r="A1399" s="1763"/>
      <c r="B1399" s="1763"/>
      <c r="C1399" s="1763"/>
      <c r="D1399" s="1763"/>
      <c r="E1399" s="1181"/>
      <c r="R1399" s="1182"/>
      <c r="S1399" s="1182"/>
      <c r="T1399" s="1182"/>
      <c r="U1399" s="1182"/>
      <c r="V1399" s="1182"/>
      <c r="W1399" s="1182"/>
      <c r="X1399" s="1182"/>
      <c r="Y1399" s="1182"/>
    </row>
    <row r="1400" spans="1:25" x14ac:dyDescent="0.2">
      <c r="A1400" s="1763"/>
      <c r="B1400" s="1763"/>
      <c r="C1400" s="1763"/>
      <c r="D1400" s="1763"/>
      <c r="E1400" s="1181"/>
      <c r="R1400" s="1182"/>
      <c r="S1400" s="1182"/>
      <c r="T1400" s="1182"/>
      <c r="U1400" s="1182"/>
      <c r="V1400" s="1182"/>
      <c r="W1400" s="1182"/>
      <c r="X1400" s="1182"/>
      <c r="Y1400" s="1182"/>
    </row>
    <row r="1401" spans="1:25" x14ac:dyDescent="0.2">
      <c r="A1401" s="1763"/>
      <c r="B1401" s="1763"/>
      <c r="C1401" s="1763"/>
      <c r="D1401" s="1763"/>
      <c r="E1401" s="1181"/>
      <c r="R1401" s="1182"/>
      <c r="S1401" s="1182"/>
      <c r="T1401" s="1182"/>
      <c r="U1401" s="1182"/>
      <c r="V1401" s="1182"/>
      <c r="W1401" s="1182"/>
      <c r="X1401" s="1182"/>
      <c r="Y1401" s="1182"/>
    </row>
    <row r="1402" spans="1:25" x14ac:dyDescent="0.2">
      <c r="A1402" s="1763"/>
      <c r="B1402" s="1763"/>
      <c r="C1402" s="1763"/>
      <c r="D1402" s="1763"/>
      <c r="E1402" s="1181"/>
      <c r="R1402" s="1182"/>
      <c r="S1402" s="1182"/>
      <c r="T1402" s="1182"/>
      <c r="U1402" s="1182"/>
      <c r="V1402" s="1182"/>
      <c r="W1402" s="1182"/>
      <c r="X1402" s="1182"/>
      <c r="Y1402" s="1182"/>
    </row>
    <row r="1403" spans="1:25" x14ac:dyDescent="0.2">
      <c r="A1403" s="1763"/>
      <c r="B1403" s="1763"/>
      <c r="C1403" s="1763"/>
      <c r="D1403" s="1763"/>
      <c r="E1403" s="1181"/>
      <c r="R1403" s="1182"/>
      <c r="S1403" s="1182"/>
      <c r="T1403" s="1182"/>
      <c r="U1403" s="1182"/>
      <c r="V1403" s="1182"/>
      <c r="W1403" s="1182"/>
      <c r="X1403" s="1182"/>
      <c r="Y1403" s="1182"/>
    </row>
    <row r="1404" spans="1:25" x14ac:dyDescent="0.2">
      <c r="A1404" s="1763"/>
      <c r="B1404" s="1763"/>
      <c r="C1404" s="1763"/>
      <c r="D1404" s="1763"/>
      <c r="E1404" s="1181"/>
      <c r="R1404" s="1182"/>
      <c r="S1404" s="1182"/>
      <c r="T1404" s="1182"/>
      <c r="U1404" s="1182"/>
      <c r="V1404" s="1182"/>
      <c r="W1404" s="1182"/>
      <c r="X1404" s="1182"/>
      <c r="Y1404" s="1182"/>
    </row>
    <row r="1405" spans="1:25" x14ac:dyDescent="0.2">
      <c r="A1405" s="1763"/>
      <c r="B1405" s="1763"/>
      <c r="C1405" s="1763"/>
      <c r="D1405" s="1763"/>
      <c r="E1405" s="1181"/>
      <c r="R1405" s="1182"/>
      <c r="S1405" s="1182"/>
      <c r="T1405" s="1182"/>
      <c r="U1405" s="1182"/>
      <c r="V1405" s="1182"/>
      <c r="W1405" s="1182"/>
      <c r="X1405" s="1182"/>
      <c r="Y1405" s="1182"/>
    </row>
    <row r="1406" spans="1:25" x14ac:dyDescent="0.2">
      <c r="A1406" s="1763"/>
      <c r="B1406" s="1763"/>
      <c r="C1406" s="1763"/>
      <c r="D1406" s="1763"/>
      <c r="E1406" s="1181"/>
      <c r="R1406" s="1182"/>
      <c r="S1406" s="1182"/>
      <c r="T1406" s="1182"/>
      <c r="U1406" s="1182"/>
      <c r="V1406" s="1182"/>
      <c r="W1406" s="1182"/>
      <c r="X1406" s="1182"/>
      <c r="Y1406" s="1182"/>
    </row>
    <row r="1407" spans="1:25" x14ac:dyDescent="0.2">
      <c r="A1407" s="1763"/>
      <c r="B1407" s="1763"/>
      <c r="C1407" s="1763"/>
      <c r="D1407" s="1763"/>
      <c r="E1407" s="1181"/>
      <c r="R1407" s="1182"/>
      <c r="S1407" s="1182"/>
      <c r="T1407" s="1182"/>
      <c r="U1407" s="1182"/>
      <c r="V1407" s="1182"/>
      <c r="W1407" s="1182"/>
      <c r="X1407" s="1182"/>
      <c r="Y1407" s="1182"/>
    </row>
    <row r="1408" spans="1:25" x14ac:dyDescent="0.2">
      <c r="A1408" s="1763"/>
      <c r="B1408" s="1763"/>
      <c r="C1408" s="1763"/>
      <c r="D1408" s="1763"/>
      <c r="E1408" s="1181"/>
      <c r="R1408" s="1182"/>
      <c r="S1408" s="1182"/>
      <c r="T1408" s="1182"/>
      <c r="U1408" s="1182"/>
      <c r="V1408" s="1182"/>
      <c r="W1408" s="1182"/>
      <c r="X1408" s="1182"/>
      <c r="Y1408" s="1182"/>
    </row>
    <row r="1409" spans="1:25" x14ac:dyDescent="0.2">
      <c r="A1409" s="1763"/>
      <c r="B1409" s="1763"/>
      <c r="C1409" s="1763"/>
      <c r="D1409" s="1763"/>
      <c r="E1409" s="1181"/>
      <c r="R1409" s="1182"/>
      <c r="S1409" s="1182"/>
      <c r="T1409" s="1182"/>
      <c r="U1409" s="1182"/>
      <c r="V1409" s="1182"/>
      <c r="W1409" s="1182"/>
      <c r="X1409" s="1182"/>
      <c r="Y1409" s="1182"/>
    </row>
    <row r="1410" spans="1:25" x14ac:dyDescent="0.2">
      <c r="A1410" s="1763"/>
      <c r="B1410" s="1763"/>
      <c r="C1410" s="1763"/>
      <c r="D1410" s="1763"/>
      <c r="E1410" s="1181"/>
      <c r="R1410" s="1182"/>
      <c r="S1410" s="1182"/>
      <c r="T1410" s="1182"/>
      <c r="U1410" s="1182"/>
      <c r="V1410" s="1182"/>
      <c r="W1410" s="1182"/>
      <c r="X1410" s="1182"/>
      <c r="Y1410" s="1182"/>
    </row>
    <row r="1411" spans="1:25" x14ac:dyDescent="0.2">
      <c r="A1411" s="1763"/>
      <c r="B1411" s="1763"/>
      <c r="C1411" s="1763"/>
      <c r="D1411" s="1763"/>
      <c r="E1411" s="1181"/>
      <c r="R1411" s="1182"/>
      <c r="S1411" s="1182"/>
      <c r="T1411" s="1182"/>
      <c r="U1411" s="1182"/>
      <c r="V1411" s="1182"/>
      <c r="W1411" s="1182"/>
      <c r="X1411" s="1182"/>
      <c r="Y1411" s="1182"/>
    </row>
    <row r="1412" spans="1:25" x14ac:dyDescent="0.2">
      <c r="A1412" s="1763"/>
      <c r="B1412" s="1763"/>
      <c r="C1412" s="1763"/>
      <c r="D1412" s="1763"/>
      <c r="E1412" s="1181"/>
      <c r="R1412" s="1182"/>
      <c r="S1412" s="1182"/>
      <c r="T1412" s="1182"/>
      <c r="U1412" s="1182"/>
      <c r="V1412" s="1182"/>
      <c r="W1412" s="1182"/>
      <c r="X1412" s="1182"/>
      <c r="Y1412" s="1182"/>
    </row>
    <row r="1413" spans="1:25" x14ac:dyDescent="0.2">
      <c r="A1413" s="1763"/>
      <c r="B1413" s="1763"/>
      <c r="C1413" s="1763"/>
      <c r="D1413" s="1763"/>
      <c r="E1413" s="1181"/>
      <c r="R1413" s="1182"/>
      <c r="S1413" s="1182"/>
      <c r="T1413" s="1182"/>
      <c r="U1413" s="1182"/>
      <c r="V1413" s="1182"/>
      <c r="W1413" s="1182"/>
      <c r="X1413" s="1182"/>
      <c r="Y1413" s="1182"/>
    </row>
    <row r="1414" spans="1:25" x14ac:dyDescent="0.2">
      <c r="A1414" s="1763"/>
      <c r="B1414" s="1763"/>
      <c r="C1414" s="1763"/>
      <c r="D1414" s="1763"/>
      <c r="E1414" s="1181"/>
      <c r="R1414" s="1182"/>
      <c r="S1414" s="1182"/>
      <c r="T1414" s="1182"/>
      <c r="U1414" s="1182"/>
      <c r="V1414" s="1182"/>
      <c r="W1414" s="1182"/>
      <c r="X1414" s="1182"/>
      <c r="Y1414" s="1182"/>
    </row>
    <row r="1415" spans="1:25" x14ac:dyDescent="0.2">
      <c r="A1415" s="1763"/>
      <c r="B1415" s="1763"/>
      <c r="C1415" s="1763"/>
      <c r="D1415" s="1763"/>
      <c r="E1415" s="1181"/>
      <c r="R1415" s="1182"/>
      <c r="S1415" s="1182"/>
      <c r="T1415" s="1182"/>
      <c r="U1415" s="1182"/>
      <c r="V1415" s="1182"/>
      <c r="W1415" s="1182"/>
      <c r="X1415" s="1182"/>
      <c r="Y1415" s="1182"/>
    </row>
    <row r="1416" spans="1:25" x14ac:dyDescent="0.2">
      <c r="A1416" s="1763"/>
      <c r="B1416" s="1763"/>
      <c r="C1416" s="1763"/>
      <c r="D1416" s="1763"/>
      <c r="E1416" s="1181"/>
      <c r="R1416" s="1182"/>
      <c r="S1416" s="1182"/>
      <c r="T1416" s="1182"/>
      <c r="U1416" s="1182"/>
      <c r="V1416" s="1182"/>
      <c r="W1416" s="1182"/>
      <c r="X1416" s="1182"/>
      <c r="Y1416" s="1182"/>
    </row>
    <row r="1417" spans="1:25" x14ac:dyDescent="0.2">
      <c r="A1417" s="1763"/>
      <c r="B1417" s="1763"/>
      <c r="C1417" s="1763"/>
      <c r="D1417" s="1763"/>
      <c r="E1417" s="1181"/>
      <c r="R1417" s="1182"/>
      <c r="S1417" s="1182"/>
      <c r="T1417" s="1182"/>
      <c r="U1417" s="1182"/>
      <c r="V1417" s="1182"/>
      <c r="W1417" s="1182"/>
      <c r="X1417" s="1182"/>
      <c r="Y1417" s="1182"/>
    </row>
    <row r="1418" spans="1:25" x14ac:dyDescent="0.2">
      <c r="A1418" s="1763"/>
      <c r="B1418" s="1763"/>
      <c r="C1418" s="1763"/>
      <c r="D1418" s="1763"/>
      <c r="E1418" s="1181"/>
      <c r="R1418" s="1182"/>
      <c r="S1418" s="1182"/>
      <c r="T1418" s="1182"/>
      <c r="U1418" s="1182"/>
      <c r="V1418" s="1182"/>
      <c r="W1418" s="1182"/>
      <c r="X1418" s="1182"/>
      <c r="Y1418" s="1182"/>
    </row>
    <row r="1419" spans="1:25" x14ac:dyDescent="0.2">
      <c r="A1419" s="1763"/>
      <c r="B1419" s="1763"/>
      <c r="C1419" s="1763"/>
      <c r="D1419" s="1763"/>
      <c r="E1419" s="1181"/>
      <c r="R1419" s="1182"/>
      <c r="S1419" s="1182"/>
      <c r="T1419" s="1182"/>
      <c r="U1419" s="1182"/>
      <c r="V1419" s="1182"/>
      <c r="W1419" s="1182"/>
      <c r="X1419" s="1182"/>
      <c r="Y1419" s="1182"/>
    </row>
    <row r="1420" spans="1:25" x14ac:dyDescent="0.2">
      <c r="A1420" s="1763"/>
      <c r="B1420" s="1763"/>
      <c r="C1420" s="1763"/>
      <c r="D1420" s="1763"/>
      <c r="E1420" s="1181"/>
      <c r="R1420" s="1182"/>
      <c r="S1420" s="1182"/>
      <c r="T1420" s="1182"/>
      <c r="U1420" s="1182"/>
      <c r="V1420" s="1182"/>
      <c r="W1420" s="1182"/>
      <c r="X1420" s="1182"/>
      <c r="Y1420" s="1182"/>
    </row>
    <row r="1421" spans="1:25" x14ac:dyDescent="0.2">
      <c r="A1421" s="1763"/>
      <c r="B1421" s="1763"/>
      <c r="C1421" s="1763"/>
      <c r="D1421" s="1763"/>
      <c r="E1421" s="1181"/>
      <c r="R1421" s="1182"/>
      <c r="S1421" s="1182"/>
      <c r="T1421" s="1182"/>
      <c r="U1421" s="1182"/>
      <c r="V1421" s="1182"/>
      <c r="W1421" s="1182"/>
      <c r="X1421" s="1182"/>
      <c r="Y1421" s="1182"/>
    </row>
    <row r="1422" spans="1:25" x14ac:dyDescent="0.2">
      <c r="A1422" s="1763"/>
      <c r="B1422" s="1763"/>
      <c r="C1422" s="1763"/>
      <c r="D1422" s="1763"/>
      <c r="E1422" s="1181"/>
      <c r="R1422" s="1182"/>
      <c r="S1422" s="1182"/>
      <c r="T1422" s="1182"/>
      <c r="U1422" s="1182"/>
      <c r="V1422" s="1182"/>
      <c r="W1422" s="1182"/>
      <c r="X1422" s="1182"/>
      <c r="Y1422" s="1182"/>
    </row>
    <row r="1423" spans="1:25" x14ac:dyDescent="0.2">
      <c r="A1423" s="1763"/>
      <c r="B1423" s="1763"/>
      <c r="C1423" s="1763"/>
      <c r="D1423" s="1763"/>
      <c r="E1423" s="1181"/>
      <c r="R1423" s="1182"/>
      <c r="S1423" s="1182"/>
      <c r="T1423" s="1182"/>
      <c r="U1423" s="1182"/>
      <c r="V1423" s="1182"/>
      <c r="W1423" s="1182"/>
      <c r="X1423" s="1182"/>
      <c r="Y1423" s="1182"/>
    </row>
    <row r="1424" spans="1:25" x14ac:dyDescent="0.2">
      <c r="A1424" s="1763"/>
      <c r="B1424" s="1763"/>
      <c r="C1424" s="1763"/>
      <c r="D1424" s="1763"/>
      <c r="E1424" s="1181"/>
      <c r="R1424" s="1182"/>
      <c r="S1424" s="1182"/>
      <c r="T1424" s="1182"/>
      <c r="U1424" s="1182"/>
      <c r="V1424" s="1182"/>
      <c r="W1424" s="1182"/>
      <c r="X1424" s="1182"/>
      <c r="Y1424" s="1182"/>
    </row>
    <row r="1425" spans="1:25" x14ac:dyDescent="0.2">
      <c r="A1425" s="1763"/>
      <c r="B1425" s="1763"/>
      <c r="C1425" s="1763"/>
      <c r="D1425" s="1763"/>
      <c r="E1425" s="1181"/>
      <c r="R1425" s="1182"/>
      <c r="S1425" s="1182"/>
      <c r="T1425" s="1182"/>
      <c r="U1425" s="1182"/>
      <c r="V1425" s="1182"/>
      <c r="W1425" s="1182"/>
      <c r="X1425" s="1182"/>
      <c r="Y1425" s="1182"/>
    </row>
    <row r="1426" spans="1:25" x14ac:dyDescent="0.2">
      <c r="A1426" s="1763"/>
      <c r="B1426" s="1763"/>
      <c r="C1426" s="1763"/>
      <c r="D1426" s="1763"/>
      <c r="E1426" s="1181"/>
      <c r="R1426" s="1182"/>
      <c r="S1426" s="1182"/>
      <c r="T1426" s="1182"/>
      <c r="U1426" s="1182"/>
      <c r="V1426" s="1182"/>
      <c r="W1426" s="1182"/>
      <c r="X1426" s="1182"/>
      <c r="Y1426" s="1182"/>
    </row>
    <row r="1427" spans="1:25" x14ac:dyDescent="0.2">
      <c r="A1427" s="1763"/>
      <c r="B1427" s="1763"/>
      <c r="C1427" s="1763"/>
      <c r="D1427" s="1763"/>
      <c r="E1427" s="1181"/>
      <c r="R1427" s="1182"/>
      <c r="S1427" s="1182"/>
      <c r="T1427" s="1182"/>
      <c r="U1427" s="1182"/>
      <c r="V1427" s="1182"/>
      <c r="W1427" s="1182"/>
      <c r="X1427" s="1182"/>
      <c r="Y1427" s="1182"/>
    </row>
    <row r="1428" spans="1:25" x14ac:dyDescent="0.2">
      <c r="A1428" s="1763"/>
      <c r="B1428" s="1763"/>
      <c r="C1428" s="1763"/>
      <c r="D1428" s="1763"/>
      <c r="E1428" s="1181"/>
      <c r="R1428" s="1182"/>
      <c r="S1428" s="1182"/>
      <c r="T1428" s="1182"/>
      <c r="U1428" s="1182"/>
      <c r="V1428" s="1182"/>
      <c r="W1428" s="1182"/>
      <c r="X1428" s="1182"/>
      <c r="Y1428" s="1182"/>
    </row>
    <row r="1429" spans="1:25" x14ac:dyDescent="0.2">
      <c r="A1429" s="1763"/>
      <c r="B1429" s="1763"/>
      <c r="C1429" s="1763"/>
      <c r="D1429" s="1763"/>
      <c r="E1429" s="1181"/>
      <c r="R1429" s="1182"/>
      <c r="S1429" s="1182"/>
      <c r="T1429" s="1182"/>
      <c r="U1429" s="1182"/>
      <c r="V1429" s="1182"/>
      <c r="W1429" s="1182"/>
      <c r="X1429" s="1182"/>
      <c r="Y1429" s="1182"/>
    </row>
    <row r="1430" spans="1:25" x14ac:dyDescent="0.2">
      <c r="A1430" s="1763"/>
      <c r="B1430" s="1763"/>
      <c r="C1430" s="1763"/>
      <c r="D1430" s="1763"/>
      <c r="E1430" s="1181"/>
      <c r="R1430" s="1182"/>
      <c r="S1430" s="1182"/>
      <c r="T1430" s="1182"/>
      <c r="U1430" s="1182"/>
      <c r="V1430" s="1182"/>
      <c r="W1430" s="1182"/>
      <c r="X1430" s="1182"/>
      <c r="Y1430" s="1182"/>
    </row>
    <row r="1431" spans="1:25" x14ac:dyDescent="0.2">
      <c r="A1431" s="1763"/>
      <c r="B1431" s="1763"/>
      <c r="C1431" s="1763"/>
      <c r="D1431" s="1763"/>
      <c r="E1431" s="1181"/>
      <c r="R1431" s="1182"/>
      <c r="S1431" s="1182"/>
      <c r="T1431" s="1182"/>
      <c r="U1431" s="1182"/>
      <c r="V1431" s="1182"/>
      <c r="W1431" s="1182"/>
      <c r="X1431" s="1182"/>
      <c r="Y1431" s="1182"/>
    </row>
    <row r="1432" spans="1:25" x14ac:dyDescent="0.2">
      <c r="A1432" s="1763"/>
      <c r="B1432" s="1763"/>
      <c r="C1432" s="1763"/>
      <c r="D1432" s="1763"/>
      <c r="E1432" s="1181"/>
      <c r="R1432" s="1182"/>
      <c r="S1432" s="1182"/>
      <c r="T1432" s="1182"/>
      <c r="U1432" s="1182"/>
      <c r="V1432" s="1182"/>
      <c r="W1432" s="1182"/>
      <c r="X1432" s="1182"/>
      <c r="Y1432" s="1182"/>
    </row>
    <row r="1433" spans="1:25" x14ac:dyDescent="0.2">
      <c r="A1433" s="1763"/>
      <c r="B1433" s="1763"/>
      <c r="C1433" s="1763"/>
      <c r="D1433" s="1763"/>
      <c r="E1433" s="1181"/>
      <c r="R1433" s="1182"/>
      <c r="S1433" s="1182"/>
      <c r="T1433" s="1182"/>
      <c r="U1433" s="1182"/>
      <c r="V1433" s="1182"/>
      <c r="W1433" s="1182"/>
      <c r="X1433" s="1182"/>
      <c r="Y1433" s="1182"/>
    </row>
    <row r="1434" spans="1:25" x14ac:dyDescent="0.2">
      <c r="A1434" s="1763"/>
      <c r="B1434" s="1763"/>
      <c r="C1434" s="1763"/>
      <c r="D1434" s="1763"/>
      <c r="E1434" s="1181"/>
      <c r="R1434" s="1182"/>
      <c r="S1434" s="1182"/>
      <c r="T1434" s="1182"/>
      <c r="U1434" s="1182"/>
      <c r="V1434" s="1182"/>
      <c r="W1434" s="1182"/>
      <c r="X1434" s="1182"/>
      <c r="Y1434" s="1182"/>
    </row>
    <row r="1435" spans="1:25" x14ac:dyDescent="0.2">
      <c r="A1435" s="1763"/>
      <c r="B1435" s="1763"/>
      <c r="C1435" s="1763"/>
      <c r="D1435" s="1763"/>
      <c r="E1435" s="1181"/>
      <c r="R1435" s="1182"/>
      <c r="S1435" s="1182"/>
      <c r="T1435" s="1182"/>
      <c r="U1435" s="1182"/>
      <c r="V1435" s="1182"/>
      <c r="W1435" s="1182"/>
      <c r="X1435" s="1182"/>
      <c r="Y1435" s="1182"/>
    </row>
    <row r="1436" spans="1:25" x14ac:dyDescent="0.2">
      <c r="A1436" s="1763"/>
      <c r="B1436" s="1763"/>
      <c r="C1436" s="1763"/>
      <c r="D1436" s="1763"/>
      <c r="E1436" s="1181"/>
      <c r="R1436" s="1182"/>
      <c r="S1436" s="1182"/>
      <c r="T1436" s="1182"/>
      <c r="U1436" s="1182"/>
      <c r="V1436" s="1182"/>
      <c r="W1436" s="1182"/>
      <c r="X1436" s="1182"/>
      <c r="Y1436" s="1182"/>
    </row>
    <row r="1437" spans="1:25" x14ac:dyDescent="0.2">
      <c r="A1437" s="1763"/>
      <c r="B1437" s="1763"/>
      <c r="C1437" s="1763"/>
      <c r="D1437" s="1763"/>
      <c r="E1437" s="1181"/>
      <c r="R1437" s="1182"/>
      <c r="S1437" s="1182"/>
      <c r="T1437" s="1182"/>
      <c r="U1437" s="1182"/>
      <c r="V1437" s="1182"/>
      <c r="W1437" s="1182"/>
      <c r="X1437" s="1182"/>
      <c r="Y1437" s="1182"/>
    </row>
    <row r="1438" spans="1:25" x14ac:dyDescent="0.2">
      <c r="A1438" s="1763"/>
      <c r="B1438" s="1763"/>
      <c r="C1438" s="1763"/>
      <c r="D1438" s="1763"/>
      <c r="E1438" s="1181"/>
      <c r="R1438" s="1182"/>
      <c r="S1438" s="1182"/>
      <c r="T1438" s="1182"/>
      <c r="U1438" s="1182"/>
      <c r="V1438" s="1182"/>
      <c r="W1438" s="1182"/>
      <c r="X1438" s="1182"/>
      <c r="Y1438" s="1182"/>
    </row>
    <row r="1439" spans="1:25" x14ac:dyDescent="0.2">
      <c r="A1439" s="1763"/>
      <c r="B1439" s="1763"/>
      <c r="C1439" s="1763"/>
      <c r="D1439" s="1763"/>
      <c r="E1439" s="1181"/>
      <c r="R1439" s="1182"/>
      <c r="S1439" s="1182"/>
      <c r="T1439" s="1182"/>
      <c r="U1439" s="1182"/>
      <c r="V1439" s="1182"/>
      <c r="W1439" s="1182"/>
      <c r="X1439" s="1182"/>
      <c r="Y1439" s="1182"/>
    </row>
    <row r="1440" spans="1:25" x14ac:dyDescent="0.2">
      <c r="A1440" s="1763"/>
      <c r="B1440" s="1763"/>
      <c r="C1440" s="1763"/>
      <c r="D1440" s="1763"/>
      <c r="E1440" s="1181"/>
      <c r="R1440" s="1182"/>
      <c r="S1440" s="1182"/>
      <c r="T1440" s="1182"/>
      <c r="U1440" s="1182"/>
      <c r="V1440" s="1182"/>
      <c r="W1440" s="1182"/>
      <c r="X1440" s="1182"/>
      <c r="Y1440" s="1182"/>
    </row>
    <row r="1441" spans="1:25" x14ac:dyDescent="0.2">
      <c r="A1441" s="1763"/>
      <c r="B1441" s="1763"/>
      <c r="C1441" s="1763"/>
      <c r="D1441" s="1763"/>
      <c r="E1441" s="1181"/>
      <c r="R1441" s="1182"/>
      <c r="S1441" s="1182"/>
      <c r="T1441" s="1182"/>
      <c r="U1441" s="1182"/>
      <c r="V1441" s="1182"/>
      <c r="W1441" s="1182"/>
      <c r="X1441" s="1182"/>
      <c r="Y1441" s="1182"/>
    </row>
    <row r="1442" spans="1:25" x14ac:dyDescent="0.2">
      <c r="A1442" s="1763"/>
      <c r="B1442" s="1763"/>
      <c r="C1442" s="1763"/>
      <c r="D1442" s="1763"/>
      <c r="E1442" s="1181"/>
      <c r="R1442" s="1182"/>
      <c r="S1442" s="1182"/>
      <c r="T1442" s="1182"/>
      <c r="U1442" s="1182"/>
      <c r="V1442" s="1182"/>
      <c r="W1442" s="1182"/>
      <c r="X1442" s="1182"/>
      <c r="Y1442" s="1182"/>
    </row>
    <row r="1443" spans="1:25" x14ac:dyDescent="0.2">
      <c r="A1443" s="1763"/>
      <c r="B1443" s="1763"/>
      <c r="C1443" s="1763"/>
      <c r="D1443" s="1763"/>
      <c r="E1443" s="1181"/>
      <c r="R1443" s="1182"/>
      <c r="S1443" s="1182"/>
      <c r="T1443" s="1182"/>
      <c r="U1443" s="1182"/>
      <c r="V1443" s="1182"/>
      <c r="W1443" s="1182"/>
      <c r="X1443" s="1182"/>
      <c r="Y1443" s="1182"/>
    </row>
    <row r="1444" spans="1:25" x14ac:dyDescent="0.2">
      <c r="A1444" s="1763"/>
      <c r="B1444" s="1763"/>
      <c r="C1444" s="1763"/>
      <c r="D1444" s="1763"/>
      <c r="E1444" s="1181"/>
      <c r="R1444" s="1182"/>
      <c r="S1444" s="1182"/>
      <c r="T1444" s="1182"/>
      <c r="U1444" s="1182"/>
      <c r="V1444" s="1182"/>
      <c r="W1444" s="1182"/>
      <c r="X1444" s="1182"/>
      <c r="Y1444" s="1182"/>
    </row>
    <row r="1445" spans="1:25" x14ac:dyDescent="0.2">
      <c r="A1445" s="1763"/>
      <c r="B1445" s="1763"/>
      <c r="C1445" s="1763"/>
      <c r="D1445" s="1763"/>
      <c r="E1445" s="1181"/>
      <c r="R1445" s="1182"/>
      <c r="S1445" s="1182"/>
      <c r="T1445" s="1182"/>
      <c r="U1445" s="1182"/>
      <c r="V1445" s="1182"/>
      <c r="W1445" s="1182"/>
      <c r="X1445" s="1182"/>
      <c r="Y1445" s="1182"/>
    </row>
    <row r="1446" spans="1:25" x14ac:dyDescent="0.2">
      <c r="A1446" s="1763"/>
      <c r="B1446" s="1763"/>
      <c r="C1446" s="1763"/>
      <c r="D1446" s="1763"/>
      <c r="E1446" s="1181"/>
      <c r="R1446" s="1182"/>
      <c r="S1446" s="1182"/>
      <c r="T1446" s="1182"/>
      <c r="U1446" s="1182"/>
      <c r="V1446" s="1182"/>
      <c r="W1446" s="1182"/>
      <c r="X1446" s="1182"/>
      <c r="Y1446" s="1182"/>
    </row>
    <row r="1447" spans="1:25" x14ac:dyDescent="0.2">
      <c r="A1447" s="1763"/>
      <c r="B1447" s="1763"/>
      <c r="C1447" s="1763"/>
      <c r="D1447" s="1763"/>
      <c r="E1447" s="1181"/>
      <c r="R1447" s="1182"/>
      <c r="S1447" s="1182"/>
      <c r="T1447" s="1182"/>
      <c r="U1447" s="1182"/>
      <c r="V1447" s="1182"/>
      <c r="W1447" s="1182"/>
      <c r="X1447" s="1182"/>
      <c r="Y1447" s="1182"/>
    </row>
    <row r="1448" spans="1:25" x14ac:dyDescent="0.2">
      <c r="A1448" s="1763"/>
      <c r="B1448" s="1763"/>
      <c r="C1448" s="1763"/>
      <c r="D1448" s="1763"/>
      <c r="E1448" s="1181"/>
      <c r="R1448" s="1182"/>
      <c r="S1448" s="1182"/>
      <c r="T1448" s="1182"/>
      <c r="U1448" s="1182"/>
      <c r="V1448" s="1182"/>
      <c r="W1448" s="1182"/>
      <c r="X1448" s="1182"/>
      <c r="Y1448" s="1182"/>
    </row>
    <row r="1449" spans="1:25" x14ac:dyDescent="0.2">
      <c r="A1449" s="1763"/>
      <c r="B1449" s="1763"/>
      <c r="C1449" s="1763"/>
      <c r="D1449" s="1763"/>
      <c r="E1449" s="1181"/>
      <c r="R1449" s="1182"/>
      <c r="S1449" s="1182"/>
      <c r="T1449" s="1182"/>
      <c r="U1449" s="1182"/>
      <c r="V1449" s="1182"/>
      <c r="W1449" s="1182"/>
      <c r="X1449" s="1182"/>
      <c r="Y1449" s="1182"/>
    </row>
    <row r="1450" spans="1:25" x14ac:dyDescent="0.2">
      <c r="A1450" s="1763"/>
      <c r="B1450" s="1763"/>
      <c r="C1450" s="1763"/>
      <c r="D1450" s="1763"/>
      <c r="E1450" s="1181"/>
      <c r="R1450" s="1182"/>
      <c r="S1450" s="1182"/>
      <c r="T1450" s="1182"/>
      <c r="U1450" s="1182"/>
      <c r="V1450" s="1182"/>
      <c r="W1450" s="1182"/>
      <c r="X1450" s="1182"/>
      <c r="Y1450" s="1182"/>
    </row>
    <row r="1451" spans="1:25" x14ac:dyDescent="0.2">
      <c r="A1451" s="1763"/>
      <c r="B1451" s="1763"/>
      <c r="C1451" s="1763"/>
      <c r="D1451" s="1763"/>
      <c r="E1451" s="1181"/>
      <c r="R1451" s="1182"/>
      <c r="S1451" s="1182"/>
      <c r="T1451" s="1182"/>
      <c r="U1451" s="1182"/>
      <c r="V1451" s="1182"/>
      <c r="W1451" s="1182"/>
      <c r="X1451" s="1182"/>
      <c r="Y1451" s="1182"/>
    </row>
    <row r="1452" spans="1:25" x14ac:dyDescent="0.2">
      <c r="A1452" s="1763"/>
      <c r="B1452" s="1763"/>
      <c r="C1452" s="1763"/>
      <c r="D1452" s="1763"/>
      <c r="E1452" s="1181"/>
      <c r="R1452" s="1182"/>
      <c r="S1452" s="1182"/>
      <c r="T1452" s="1182"/>
      <c r="U1452" s="1182"/>
      <c r="V1452" s="1182"/>
      <c r="W1452" s="1182"/>
      <c r="X1452" s="1182"/>
      <c r="Y1452" s="1182"/>
    </row>
    <row r="1453" spans="1:25" x14ac:dyDescent="0.2">
      <c r="A1453" s="1763"/>
      <c r="B1453" s="1763"/>
      <c r="C1453" s="1763"/>
      <c r="D1453" s="1763"/>
      <c r="E1453" s="1181"/>
      <c r="R1453" s="1182"/>
      <c r="S1453" s="1182"/>
      <c r="T1453" s="1182"/>
      <c r="U1453" s="1182"/>
      <c r="V1453" s="1182"/>
      <c r="W1453" s="1182"/>
      <c r="X1453" s="1182"/>
      <c r="Y1453" s="1182"/>
    </row>
    <row r="1454" spans="1:25" x14ac:dyDescent="0.2">
      <c r="A1454" s="1763"/>
      <c r="B1454" s="1763"/>
      <c r="C1454" s="1763"/>
      <c r="D1454" s="1763"/>
      <c r="E1454" s="1181"/>
      <c r="R1454" s="1182"/>
      <c r="S1454" s="1182"/>
      <c r="T1454" s="1182"/>
      <c r="U1454" s="1182"/>
      <c r="V1454" s="1182"/>
      <c r="W1454" s="1182"/>
      <c r="X1454" s="1182"/>
      <c r="Y1454" s="1182"/>
    </row>
    <row r="1455" spans="1:25" x14ac:dyDescent="0.2">
      <c r="A1455" s="1763"/>
      <c r="B1455" s="1763"/>
      <c r="C1455" s="1763"/>
      <c r="D1455" s="1763"/>
      <c r="E1455" s="1181"/>
      <c r="R1455" s="1182"/>
      <c r="S1455" s="1182"/>
      <c r="T1455" s="1182"/>
      <c r="U1455" s="1182"/>
      <c r="V1455" s="1182"/>
      <c r="W1455" s="1182"/>
      <c r="X1455" s="1182"/>
      <c r="Y1455" s="1182"/>
    </row>
    <row r="1456" spans="1:25" x14ac:dyDescent="0.2">
      <c r="A1456" s="1763"/>
      <c r="B1456" s="1763"/>
      <c r="C1456" s="1763"/>
      <c r="D1456" s="1763"/>
      <c r="E1456" s="1181"/>
      <c r="R1456" s="1182"/>
      <c r="S1456" s="1182"/>
      <c r="T1456" s="1182"/>
      <c r="U1456" s="1182"/>
      <c r="V1456" s="1182"/>
      <c r="W1456" s="1182"/>
      <c r="X1456" s="1182"/>
      <c r="Y1456" s="1182"/>
    </row>
    <row r="1457" spans="1:25" x14ac:dyDescent="0.2">
      <c r="A1457" s="1763"/>
      <c r="B1457" s="1763"/>
      <c r="C1457" s="1763"/>
      <c r="D1457" s="1763"/>
      <c r="E1457" s="1181"/>
      <c r="R1457" s="1182"/>
      <c r="S1457" s="1182"/>
      <c r="T1457" s="1182"/>
      <c r="U1457" s="1182"/>
      <c r="V1457" s="1182"/>
      <c r="W1457" s="1182"/>
      <c r="X1457" s="1182"/>
      <c r="Y1457" s="1182"/>
    </row>
    <row r="1458" spans="1:25" x14ac:dyDescent="0.2">
      <c r="A1458" s="1763"/>
      <c r="B1458" s="1763"/>
      <c r="C1458" s="1763"/>
      <c r="D1458" s="1763"/>
      <c r="E1458" s="1181"/>
      <c r="R1458" s="1182"/>
      <c r="S1458" s="1182"/>
      <c r="T1458" s="1182"/>
      <c r="U1458" s="1182"/>
      <c r="V1458" s="1182"/>
      <c r="W1458" s="1182"/>
      <c r="X1458" s="1182"/>
      <c r="Y1458" s="1182"/>
    </row>
    <row r="1459" spans="1:25" x14ac:dyDescent="0.2">
      <c r="A1459" s="1763"/>
      <c r="B1459" s="1763"/>
      <c r="C1459" s="1763"/>
      <c r="D1459" s="1763"/>
      <c r="E1459" s="1181"/>
      <c r="R1459" s="1182"/>
      <c r="S1459" s="1182"/>
      <c r="T1459" s="1182"/>
      <c r="U1459" s="1182"/>
      <c r="V1459" s="1182"/>
      <c r="W1459" s="1182"/>
      <c r="X1459" s="1182"/>
      <c r="Y1459" s="1182"/>
    </row>
    <row r="1460" spans="1:25" x14ac:dyDescent="0.2">
      <c r="A1460" s="1763"/>
      <c r="B1460" s="1763"/>
      <c r="C1460" s="1763"/>
      <c r="D1460" s="1763"/>
      <c r="E1460" s="1181"/>
      <c r="R1460" s="1182"/>
      <c r="S1460" s="1182"/>
      <c r="T1460" s="1182"/>
      <c r="U1460" s="1182"/>
      <c r="V1460" s="1182"/>
      <c r="W1460" s="1182"/>
      <c r="X1460" s="1182"/>
      <c r="Y1460" s="1182"/>
    </row>
    <row r="1461" spans="1:25" x14ac:dyDescent="0.2">
      <c r="A1461" s="1763"/>
      <c r="B1461" s="1763"/>
      <c r="C1461" s="1763"/>
      <c r="D1461" s="1763"/>
      <c r="E1461" s="1181"/>
      <c r="R1461" s="1182"/>
      <c r="S1461" s="1182"/>
      <c r="T1461" s="1182"/>
      <c r="U1461" s="1182"/>
      <c r="V1461" s="1182"/>
      <c r="W1461" s="1182"/>
      <c r="X1461" s="1182"/>
      <c r="Y1461" s="1182"/>
    </row>
    <row r="1462" spans="1:25" x14ac:dyDescent="0.2">
      <c r="A1462" s="1763"/>
      <c r="B1462" s="1763"/>
      <c r="C1462" s="1763"/>
      <c r="D1462" s="1763"/>
      <c r="E1462" s="1181"/>
      <c r="R1462" s="1182"/>
      <c r="S1462" s="1182"/>
      <c r="T1462" s="1182"/>
      <c r="U1462" s="1182"/>
      <c r="V1462" s="1182"/>
      <c r="W1462" s="1182"/>
      <c r="X1462" s="1182"/>
      <c r="Y1462" s="1182"/>
    </row>
    <row r="1463" spans="1:25" x14ac:dyDescent="0.2">
      <c r="A1463" s="1763"/>
      <c r="B1463" s="1763"/>
      <c r="C1463" s="1763"/>
      <c r="D1463" s="1763"/>
      <c r="E1463" s="1181"/>
      <c r="R1463" s="1182"/>
      <c r="S1463" s="1182"/>
      <c r="T1463" s="1182"/>
      <c r="U1463" s="1182"/>
      <c r="V1463" s="1182"/>
      <c r="W1463" s="1182"/>
      <c r="X1463" s="1182"/>
      <c r="Y1463" s="1182"/>
    </row>
    <row r="1464" spans="1:25" x14ac:dyDescent="0.2">
      <c r="A1464" s="1763"/>
      <c r="B1464" s="1763"/>
      <c r="C1464" s="1763"/>
      <c r="D1464" s="1763"/>
      <c r="E1464" s="1181"/>
      <c r="R1464" s="1182"/>
      <c r="S1464" s="1182"/>
      <c r="T1464" s="1182"/>
      <c r="U1464" s="1182"/>
      <c r="V1464" s="1182"/>
      <c r="W1464" s="1182"/>
      <c r="X1464" s="1182"/>
      <c r="Y1464" s="1182"/>
    </row>
    <row r="1465" spans="1:25" x14ac:dyDescent="0.2">
      <c r="A1465" s="1763"/>
      <c r="B1465" s="1763"/>
      <c r="C1465" s="1763"/>
      <c r="D1465" s="1763"/>
      <c r="E1465" s="1181"/>
      <c r="R1465" s="1182"/>
      <c r="S1465" s="1182"/>
      <c r="T1465" s="1182"/>
      <c r="U1465" s="1182"/>
      <c r="V1465" s="1182"/>
      <c r="W1465" s="1182"/>
      <c r="X1465" s="1182"/>
      <c r="Y1465" s="1182"/>
    </row>
    <row r="1466" spans="1:25" x14ac:dyDescent="0.2">
      <c r="A1466" s="1763"/>
      <c r="B1466" s="1763"/>
      <c r="C1466" s="1763"/>
      <c r="D1466" s="1763"/>
      <c r="E1466" s="1181"/>
      <c r="R1466" s="1182"/>
      <c r="S1466" s="1182"/>
      <c r="T1466" s="1182"/>
      <c r="U1466" s="1182"/>
      <c r="V1466" s="1182"/>
      <c r="W1466" s="1182"/>
      <c r="X1466" s="1182"/>
      <c r="Y1466" s="1182"/>
    </row>
    <row r="1467" spans="1:25" x14ac:dyDescent="0.2">
      <c r="A1467" s="1763"/>
      <c r="B1467" s="1763"/>
      <c r="C1467" s="1763"/>
      <c r="D1467" s="1763"/>
      <c r="E1467" s="1181"/>
      <c r="R1467" s="1182"/>
      <c r="S1467" s="1182"/>
      <c r="T1467" s="1182"/>
      <c r="U1467" s="1182"/>
      <c r="V1467" s="1182"/>
      <c r="W1467" s="1182"/>
      <c r="X1467" s="1182"/>
      <c r="Y1467" s="1182"/>
    </row>
    <row r="1468" spans="1:25" x14ac:dyDescent="0.2">
      <c r="A1468" s="1763"/>
      <c r="B1468" s="1763"/>
      <c r="C1468" s="1763"/>
      <c r="D1468" s="1763"/>
      <c r="E1468" s="1181"/>
      <c r="R1468" s="1182"/>
      <c r="S1468" s="1182"/>
      <c r="T1468" s="1182"/>
      <c r="U1468" s="1182"/>
      <c r="V1468" s="1182"/>
      <c r="W1468" s="1182"/>
      <c r="X1468" s="1182"/>
      <c r="Y1468" s="1182"/>
    </row>
    <row r="1469" spans="1:25" x14ac:dyDescent="0.2">
      <c r="A1469" s="1763"/>
      <c r="B1469" s="1763"/>
      <c r="C1469" s="1763"/>
      <c r="D1469" s="1763"/>
      <c r="E1469" s="1181"/>
      <c r="R1469" s="1182"/>
      <c r="S1469" s="1182"/>
      <c r="T1469" s="1182"/>
      <c r="U1469" s="1182"/>
      <c r="V1469" s="1182"/>
      <c r="W1469" s="1182"/>
      <c r="X1469" s="1182"/>
      <c r="Y1469" s="1182"/>
    </row>
    <row r="1470" spans="1:25" x14ac:dyDescent="0.2">
      <c r="A1470" s="1763"/>
      <c r="B1470" s="1763"/>
      <c r="C1470" s="1763"/>
      <c r="D1470" s="1763"/>
      <c r="E1470" s="1181"/>
      <c r="R1470" s="1182"/>
      <c r="S1470" s="1182"/>
      <c r="T1470" s="1182"/>
      <c r="U1470" s="1182"/>
      <c r="V1470" s="1182"/>
      <c r="W1470" s="1182"/>
      <c r="X1470" s="1182"/>
      <c r="Y1470" s="1182"/>
    </row>
    <row r="1471" spans="1:25" x14ac:dyDescent="0.2">
      <c r="A1471" s="1763"/>
      <c r="B1471" s="1763"/>
      <c r="C1471" s="1763"/>
      <c r="D1471" s="1763"/>
      <c r="E1471" s="1181"/>
      <c r="R1471" s="1182"/>
      <c r="S1471" s="1182"/>
      <c r="T1471" s="1182"/>
      <c r="U1471" s="1182"/>
      <c r="V1471" s="1182"/>
      <c r="W1471" s="1182"/>
      <c r="X1471" s="1182"/>
      <c r="Y1471" s="1182"/>
    </row>
    <row r="1472" spans="1:25" x14ac:dyDescent="0.2">
      <c r="A1472" s="1763"/>
      <c r="B1472" s="1763"/>
      <c r="C1472" s="1763"/>
      <c r="D1472" s="1763"/>
      <c r="E1472" s="1181"/>
      <c r="R1472" s="1182"/>
      <c r="S1472" s="1182"/>
      <c r="T1472" s="1182"/>
      <c r="U1472" s="1182"/>
      <c r="V1472" s="1182"/>
      <c r="W1472" s="1182"/>
      <c r="X1472" s="1182"/>
      <c r="Y1472" s="1182"/>
    </row>
    <row r="1473" spans="1:25" x14ac:dyDescent="0.2">
      <c r="A1473" s="1763"/>
      <c r="B1473" s="1763"/>
      <c r="C1473" s="1763"/>
      <c r="D1473" s="1763"/>
      <c r="E1473" s="1181"/>
      <c r="R1473" s="1182"/>
      <c r="S1473" s="1182"/>
      <c r="T1473" s="1182"/>
      <c r="U1473" s="1182"/>
      <c r="V1473" s="1182"/>
      <c r="W1473" s="1182"/>
      <c r="X1473" s="1182"/>
      <c r="Y1473" s="1182"/>
    </row>
    <row r="1474" spans="1:25" x14ac:dyDescent="0.2">
      <c r="A1474" s="1763"/>
      <c r="B1474" s="1763"/>
      <c r="C1474" s="1763"/>
      <c r="D1474" s="1763"/>
      <c r="E1474" s="1181"/>
      <c r="R1474" s="1182"/>
      <c r="S1474" s="1182"/>
      <c r="T1474" s="1182"/>
      <c r="U1474" s="1182"/>
      <c r="V1474" s="1182"/>
      <c r="W1474" s="1182"/>
      <c r="X1474" s="1182"/>
      <c r="Y1474" s="1182"/>
    </row>
    <row r="1475" spans="1:25" x14ac:dyDescent="0.2">
      <c r="A1475" s="1763"/>
      <c r="B1475" s="1763"/>
      <c r="C1475" s="1763"/>
      <c r="D1475" s="1763"/>
      <c r="E1475" s="1181"/>
      <c r="R1475" s="1182"/>
      <c r="S1475" s="1182"/>
      <c r="T1475" s="1182"/>
      <c r="U1475" s="1182"/>
      <c r="V1475" s="1182"/>
      <c r="W1475" s="1182"/>
      <c r="X1475" s="1182"/>
      <c r="Y1475" s="1182"/>
    </row>
    <row r="1476" spans="1:25" x14ac:dyDescent="0.2">
      <c r="A1476" s="1763"/>
      <c r="B1476" s="1763"/>
      <c r="C1476" s="1763"/>
      <c r="D1476" s="1763"/>
      <c r="E1476" s="1181"/>
      <c r="R1476" s="1182"/>
      <c r="S1476" s="1182"/>
      <c r="T1476" s="1182"/>
      <c r="U1476" s="1182"/>
      <c r="V1476" s="1182"/>
      <c r="W1476" s="1182"/>
      <c r="X1476" s="1182"/>
      <c r="Y1476" s="1182"/>
    </row>
    <row r="1477" spans="1:25" x14ac:dyDescent="0.2">
      <c r="A1477" s="1763"/>
      <c r="B1477" s="1763"/>
      <c r="C1477" s="1763"/>
      <c r="D1477" s="1763"/>
      <c r="E1477" s="1181"/>
      <c r="R1477" s="1182"/>
      <c r="S1477" s="1182"/>
      <c r="T1477" s="1182"/>
      <c r="U1477" s="1182"/>
      <c r="V1477" s="1182"/>
      <c r="W1477" s="1182"/>
      <c r="X1477" s="1182"/>
      <c r="Y1477" s="1182"/>
    </row>
    <row r="1478" spans="1:25" x14ac:dyDescent="0.2">
      <c r="A1478" s="1763"/>
      <c r="B1478" s="1763"/>
      <c r="C1478" s="1763"/>
      <c r="D1478" s="1763"/>
      <c r="E1478" s="1181"/>
      <c r="R1478" s="1182"/>
      <c r="S1478" s="1182"/>
      <c r="T1478" s="1182"/>
      <c r="U1478" s="1182"/>
      <c r="V1478" s="1182"/>
      <c r="W1478" s="1182"/>
      <c r="X1478" s="1182"/>
      <c r="Y1478" s="1182"/>
    </row>
    <row r="1479" spans="1:25" x14ac:dyDescent="0.2">
      <c r="A1479" s="1763"/>
      <c r="B1479" s="1763"/>
      <c r="C1479" s="1763"/>
      <c r="D1479" s="1763"/>
      <c r="E1479" s="1181"/>
      <c r="R1479" s="1182"/>
      <c r="S1479" s="1182"/>
      <c r="T1479" s="1182"/>
      <c r="U1479" s="1182"/>
      <c r="V1479" s="1182"/>
      <c r="W1479" s="1182"/>
      <c r="X1479" s="1182"/>
      <c r="Y1479" s="1182"/>
    </row>
    <row r="1480" spans="1:25" x14ac:dyDescent="0.2">
      <c r="A1480" s="1763"/>
      <c r="B1480" s="1763"/>
      <c r="C1480" s="1763"/>
      <c r="D1480" s="1763"/>
      <c r="E1480" s="1181"/>
      <c r="R1480" s="1182"/>
      <c r="S1480" s="1182"/>
      <c r="T1480" s="1182"/>
      <c r="U1480" s="1182"/>
      <c r="V1480" s="1182"/>
      <c r="W1480" s="1182"/>
      <c r="X1480" s="1182"/>
      <c r="Y1480" s="1182"/>
    </row>
    <row r="1481" spans="1:25" x14ac:dyDescent="0.2">
      <c r="A1481" s="1763"/>
      <c r="B1481" s="1763"/>
      <c r="C1481" s="1763"/>
      <c r="D1481" s="1763"/>
      <c r="E1481" s="1181"/>
      <c r="R1481" s="1182"/>
      <c r="S1481" s="1182"/>
      <c r="T1481" s="1182"/>
      <c r="U1481" s="1182"/>
      <c r="V1481" s="1182"/>
      <c r="W1481" s="1182"/>
      <c r="X1481" s="1182"/>
      <c r="Y1481" s="1182"/>
    </row>
    <row r="1482" spans="1:25" x14ac:dyDescent="0.2">
      <c r="A1482" s="1763"/>
      <c r="B1482" s="1763"/>
      <c r="C1482" s="1763"/>
      <c r="D1482" s="1763"/>
      <c r="E1482" s="1181"/>
      <c r="R1482" s="1182"/>
      <c r="S1482" s="1182"/>
      <c r="T1482" s="1182"/>
      <c r="U1482" s="1182"/>
      <c r="V1482" s="1182"/>
      <c r="W1482" s="1182"/>
      <c r="X1482" s="1182"/>
      <c r="Y1482" s="1182"/>
    </row>
    <row r="1483" spans="1:25" x14ac:dyDescent="0.2">
      <c r="A1483" s="1763"/>
      <c r="B1483" s="1763"/>
      <c r="C1483" s="1763"/>
      <c r="D1483" s="1763"/>
      <c r="E1483" s="1181"/>
      <c r="R1483" s="1182"/>
      <c r="S1483" s="1182"/>
      <c r="T1483" s="1182"/>
      <c r="U1483" s="1182"/>
      <c r="V1483" s="1182"/>
      <c r="W1483" s="1182"/>
      <c r="X1483" s="1182"/>
      <c r="Y1483" s="1182"/>
    </row>
    <row r="1484" spans="1:25" x14ac:dyDescent="0.2">
      <c r="A1484" s="1763"/>
      <c r="B1484" s="1763"/>
      <c r="C1484" s="1763"/>
      <c r="D1484" s="1763"/>
      <c r="E1484" s="1181"/>
      <c r="R1484" s="1182"/>
      <c r="S1484" s="1182"/>
      <c r="T1484" s="1182"/>
      <c r="U1484" s="1182"/>
      <c r="V1484" s="1182"/>
      <c r="W1484" s="1182"/>
      <c r="X1484" s="1182"/>
      <c r="Y1484" s="1182"/>
    </row>
    <row r="1485" spans="1:25" x14ac:dyDescent="0.2">
      <c r="A1485" s="1763"/>
      <c r="B1485" s="1763"/>
      <c r="C1485" s="1763"/>
      <c r="D1485" s="1763"/>
      <c r="E1485" s="1181"/>
      <c r="R1485" s="1182"/>
      <c r="S1485" s="1182"/>
      <c r="T1485" s="1182"/>
      <c r="U1485" s="1182"/>
      <c r="V1485" s="1182"/>
      <c r="W1485" s="1182"/>
      <c r="X1485" s="1182"/>
      <c r="Y1485" s="1182"/>
    </row>
    <row r="1486" spans="1:25" x14ac:dyDescent="0.2">
      <c r="A1486" s="1763"/>
      <c r="B1486" s="1763"/>
      <c r="C1486" s="1763"/>
      <c r="D1486" s="1763"/>
      <c r="E1486" s="1181"/>
      <c r="R1486" s="1182"/>
      <c r="S1486" s="1182"/>
      <c r="T1486" s="1182"/>
      <c r="U1486" s="1182"/>
      <c r="V1486" s="1182"/>
      <c r="W1486" s="1182"/>
      <c r="X1486" s="1182"/>
      <c r="Y1486" s="1182"/>
    </row>
    <row r="1487" spans="1:25" x14ac:dyDescent="0.2">
      <c r="A1487" s="1763"/>
      <c r="B1487" s="1763"/>
      <c r="C1487" s="1763"/>
      <c r="D1487" s="1763"/>
      <c r="E1487" s="1181"/>
      <c r="R1487" s="1182"/>
      <c r="S1487" s="1182"/>
      <c r="T1487" s="1182"/>
      <c r="U1487" s="1182"/>
      <c r="V1487" s="1182"/>
      <c r="W1487" s="1182"/>
      <c r="X1487" s="1182"/>
      <c r="Y1487" s="1182"/>
    </row>
    <row r="1488" spans="1:25" x14ac:dyDescent="0.2">
      <c r="A1488" s="1763"/>
      <c r="B1488" s="1763"/>
      <c r="C1488" s="1763"/>
      <c r="D1488" s="1763"/>
      <c r="E1488" s="1181"/>
      <c r="R1488" s="1182"/>
      <c r="S1488" s="1182"/>
      <c r="T1488" s="1182"/>
      <c r="U1488" s="1182"/>
      <c r="V1488" s="1182"/>
      <c r="W1488" s="1182"/>
      <c r="X1488" s="1182"/>
      <c r="Y1488" s="1182"/>
    </row>
    <row r="1489" spans="1:25" x14ac:dyDescent="0.2">
      <c r="A1489" s="1763"/>
      <c r="B1489" s="1763"/>
      <c r="C1489" s="1763"/>
      <c r="D1489" s="1763"/>
      <c r="E1489" s="1181"/>
      <c r="R1489" s="1182"/>
      <c r="S1489" s="1182"/>
      <c r="T1489" s="1182"/>
      <c r="U1489" s="1182"/>
      <c r="V1489" s="1182"/>
      <c r="W1489" s="1182"/>
      <c r="X1489" s="1182"/>
      <c r="Y1489" s="1182"/>
    </row>
    <row r="1490" spans="1:25" x14ac:dyDescent="0.2">
      <c r="A1490" s="1763"/>
      <c r="B1490" s="1763"/>
      <c r="C1490" s="1763"/>
      <c r="D1490" s="1763"/>
      <c r="E1490" s="1181"/>
      <c r="R1490" s="1182"/>
      <c r="S1490" s="1182"/>
      <c r="T1490" s="1182"/>
      <c r="U1490" s="1182"/>
      <c r="V1490" s="1182"/>
      <c r="W1490" s="1182"/>
      <c r="X1490" s="1182"/>
      <c r="Y1490" s="1182"/>
    </row>
    <row r="1491" spans="1:25" x14ac:dyDescent="0.2">
      <c r="A1491" s="1763"/>
      <c r="B1491" s="1763"/>
      <c r="C1491" s="1763"/>
      <c r="D1491" s="1763"/>
      <c r="E1491" s="1181"/>
      <c r="R1491" s="1182"/>
      <c r="S1491" s="1182"/>
      <c r="T1491" s="1182"/>
      <c r="U1491" s="1182"/>
      <c r="V1491" s="1182"/>
      <c r="W1491" s="1182"/>
      <c r="X1491" s="1182"/>
      <c r="Y1491" s="1182"/>
    </row>
    <row r="1492" spans="1:25" x14ac:dyDescent="0.2">
      <c r="A1492" s="1763"/>
      <c r="B1492" s="1763"/>
      <c r="C1492" s="1763"/>
      <c r="D1492" s="1763"/>
      <c r="E1492" s="1181"/>
      <c r="R1492" s="1182"/>
      <c r="S1492" s="1182"/>
      <c r="T1492" s="1182"/>
      <c r="U1492" s="1182"/>
      <c r="V1492" s="1182"/>
      <c r="W1492" s="1182"/>
      <c r="X1492" s="1182"/>
      <c r="Y1492" s="1182"/>
    </row>
    <row r="1493" spans="1:25" x14ac:dyDescent="0.2">
      <c r="A1493" s="1763"/>
      <c r="B1493" s="1763"/>
      <c r="C1493" s="1763"/>
      <c r="D1493" s="1763"/>
      <c r="E1493" s="1181"/>
      <c r="R1493" s="1182"/>
      <c r="S1493" s="1182"/>
      <c r="T1493" s="1182"/>
      <c r="U1493" s="1182"/>
      <c r="V1493" s="1182"/>
      <c r="W1493" s="1182"/>
      <c r="X1493" s="1182"/>
      <c r="Y1493" s="1182"/>
    </row>
    <row r="1494" spans="1:25" x14ac:dyDescent="0.2">
      <c r="A1494" s="1763"/>
      <c r="B1494" s="1763"/>
      <c r="C1494" s="1763"/>
      <c r="D1494" s="1763"/>
      <c r="E1494" s="1181"/>
      <c r="R1494" s="1182"/>
      <c r="S1494" s="1182"/>
      <c r="T1494" s="1182"/>
      <c r="U1494" s="1182"/>
      <c r="V1494" s="1182"/>
      <c r="W1494" s="1182"/>
      <c r="X1494" s="1182"/>
      <c r="Y1494" s="1182"/>
    </row>
    <row r="1495" spans="1:25" x14ac:dyDescent="0.2">
      <c r="A1495" s="1763"/>
      <c r="B1495" s="1763"/>
      <c r="C1495" s="1763"/>
      <c r="D1495" s="1763"/>
      <c r="E1495" s="1181"/>
      <c r="R1495" s="1182"/>
      <c r="S1495" s="1182"/>
      <c r="T1495" s="1182"/>
      <c r="U1495" s="1182"/>
      <c r="V1495" s="1182"/>
      <c r="W1495" s="1182"/>
      <c r="X1495" s="1182"/>
      <c r="Y1495" s="1182"/>
    </row>
    <row r="1496" spans="1:25" x14ac:dyDescent="0.2">
      <c r="A1496" s="1763"/>
      <c r="B1496" s="1763"/>
      <c r="C1496" s="1763"/>
      <c r="D1496" s="1763"/>
      <c r="E1496" s="1181"/>
      <c r="R1496" s="1182"/>
      <c r="S1496" s="1182"/>
      <c r="T1496" s="1182"/>
      <c r="U1496" s="1182"/>
      <c r="V1496" s="1182"/>
      <c r="W1496" s="1182"/>
      <c r="X1496" s="1182"/>
      <c r="Y1496" s="1182"/>
    </row>
    <row r="1497" spans="1:25" x14ac:dyDescent="0.2">
      <c r="A1497" s="1763"/>
      <c r="B1497" s="1763"/>
      <c r="C1497" s="1763"/>
      <c r="D1497" s="1763"/>
      <c r="E1497" s="1181"/>
      <c r="R1497" s="1182"/>
      <c r="S1497" s="1182"/>
      <c r="T1497" s="1182"/>
      <c r="U1497" s="1182"/>
      <c r="V1497" s="1182"/>
      <c r="W1497" s="1182"/>
      <c r="X1497" s="1182"/>
      <c r="Y1497" s="1182"/>
    </row>
    <row r="1498" spans="1:25" x14ac:dyDescent="0.2">
      <c r="A1498" s="1763"/>
      <c r="B1498" s="1763"/>
      <c r="C1498" s="1763"/>
      <c r="D1498" s="1763"/>
      <c r="E1498" s="1181"/>
      <c r="R1498" s="1182"/>
      <c r="S1498" s="1182"/>
      <c r="T1498" s="1182"/>
      <c r="U1498" s="1182"/>
      <c r="V1498" s="1182"/>
      <c r="W1498" s="1182"/>
      <c r="X1498" s="1182"/>
      <c r="Y1498" s="1182"/>
    </row>
    <row r="1499" spans="1:25" x14ac:dyDescent="0.2">
      <c r="A1499" s="1763"/>
      <c r="B1499" s="1763"/>
      <c r="C1499" s="1763"/>
      <c r="D1499" s="1763"/>
      <c r="E1499" s="1181"/>
      <c r="R1499" s="1182"/>
      <c r="S1499" s="1182"/>
      <c r="T1499" s="1182"/>
      <c r="U1499" s="1182"/>
      <c r="V1499" s="1182"/>
      <c r="W1499" s="1182"/>
      <c r="X1499" s="1182"/>
      <c r="Y1499" s="1182"/>
    </row>
    <row r="1500" spans="1:25" x14ac:dyDescent="0.2">
      <c r="A1500" s="1763"/>
      <c r="B1500" s="1763"/>
      <c r="C1500" s="1763"/>
      <c r="D1500" s="1763"/>
      <c r="E1500" s="1181"/>
      <c r="R1500" s="1182"/>
      <c r="S1500" s="1182"/>
      <c r="T1500" s="1182"/>
      <c r="U1500" s="1182"/>
      <c r="V1500" s="1182"/>
      <c r="W1500" s="1182"/>
      <c r="X1500" s="1182"/>
      <c r="Y1500" s="1182"/>
    </row>
    <row r="1501" spans="1:25" x14ac:dyDescent="0.2">
      <c r="A1501" s="1763"/>
      <c r="B1501" s="1763"/>
      <c r="C1501" s="1763"/>
      <c r="D1501" s="1763"/>
      <c r="E1501" s="1181"/>
      <c r="R1501" s="1182"/>
      <c r="S1501" s="1182"/>
      <c r="T1501" s="1182"/>
      <c r="U1501" s="1182"/>
      <c r="V1501" s="1182"/>
      <c r="W1501" s="1182"/>
      <c r="X1501" s="1182"/>
      <c r="Y1501" s="1182"/>
    </row>
    <row r="1502" spans="1:25" x14ac:dyDescent="0.2">
      <c r="A1502" s="1763"/>
      <c r="B1502" s="1763"/>
      <c r="C1502" s="1763"/>
      <c r="D1502" s="1763"/>
      <c r="E1502" s="1181"/>
      <c r="R1502" s="1182"/>
      <c r="S1502" s="1182"/>
      <c r="T1502" s="1182"/>
      <c r="U1502" s="1182"/>
      <c r="V1502" s="1182"/>
      <c r="W1502" s="1182"/>
      <c r="X1502" s="1182"/>
      <c r="Y1502" s="1182"/>
    </row>
    <row r="1503" spans="1:25" x14ac:dyDescent="0.2">
      <c r="A1503" s="1763"/>
      <c r="B1503" s="1763"/>
      <c r="C1503" s="1763"/>
      <c r="D1503" s="1763"/>
      <c r="E1503" s="1181"/>
      <c r="R1503" s="1182"/>
      <c r="S1503" s="1182"/>
      <c r="T1503" s="1182"/>
      <c r="U1503" s="1182"/>
      <c r="V1503" s="1182"/>
      <c r="W1503" s="1182"/>
      <c r="X1503" s="1182"/>
      <c r="Y1503" s="1182"/>
    </row>
    <row r="1504" spans="1:25" x14ac:dyDescent="0.2">
      <c r="A1504" s="1763"/>
      <c r="B1504" s="1763"/>
      <c r="C1504" s="1763"/>
      <c r="D1504" s="1763"/>
      <c r="E1504" s="1181"/>
      <c r="R1504" s="1182"/>
      <c r="S1504" s="1182"/>
      <c r="T1504" s="1182"/>
      <c r="U1504" s="1182"/>
      <c r="V1504" s="1182"/>
      <c r="W1504" s="1182"/>
      <c r="X1504" s="1182"/>
      <c r="Y1504" s="1182"/>
    </row>
    <row r="1505" spans="1:25" x14ac:dyDescent="0.2">
      <c r="A1505" s="1763"/>
      <c r="B1505" s="1763"/>
      <c r="C1505" s="1763"/>
      <c r="D1505" s="1763"/>
      <c r="E1505" s="1181"/>
      <c r="R1505" s="1182"/>
      <c r="S1505" s="1182"/>
      <c r="T1505" s="1182"/>
      <c r="U1505" s="1182"/>
      <c r="V1505" s="1182"/>
      <c r="W1505" s="1182"/>
      <c r="X1505" s="1182"/>
      <c r="Y1505" s="1182"/>
    </row>
    <row r="1506" spans="1:25" x14ac:dyDescent="0.2">
      <c r="A1506" s="1763"/>
      <c r="B1506" s="1763"/>
      <c r="C1506" s="1763"/>
      <c r="D1506" s="1763"/>
      <c r="E1506" s="1181"/>
      <c r="R1506" s="1182"/>
      <c r="S1506" s="1182"/>
      <c r="T1506" s="1182"/>
      <c r="U1506" s="1182"/>
      <c r="V1506" s="1182"/>
      <c r="W1506" s="1182"/>
      <c r="X1506" s="1182"/>
      <c r="Y1506" s="1182"/>
    </row>
    <row r="1507" spans="1:25" x14ac:dyDescent="0.2">
      <c r="A1507" s="1763"/>
      <c r="B1507" s="1763"/>
      <c r="C1507" s="1763"/>
      <c r="D1507" s="1763"/>
      <c r="E1507" s="1181"/>
      <c r="R1507" s="1182"/>
      <c r="S1507" s="1182"/>
      <c r="T1507" s="1182"/>
      <c r="U1507" s="1182"/>
      <c r="V1507" s="1182"/>
      <c r="W1507" s="1182"/>
      <c r="X1507" s="1182"/>
      <c r="Y1507" s="1182"/>
    </row>
    <row r="1508" spans="1:25" x14ac:dyDescent="0.2">
      <c r="A1508" s="1763"/>
      <c r="B1508" s="1763"/>
      <c r="C1508" s="1763"/>
      <c r="D1508" s="1763"/>
      <c r="E1508" s="1181"/>
      <c r="R1508" s="1182"/>
      <c r="S1508" s="1182"/>
      <c r="T1508" s="1182"/>
      <c r="U1508" s="1182"/>
      <c r="V1508" s="1182"/>
      <c r="W1508" s="1182"/>
      <c r="X1508" s="1182"/>
      <c r="Y1508" s="1182"/>
    </row>
    <row r="1509" spans="1:25" x14ac:dyDescent="0.2">
      <c r="A1509" s="1763"/>
      <c r="B1509" s="1763"/>
      <c r="C1509" s="1763"/>
      <c r="D1509" s="1763"/>
      <c r="E1509" s="1181"/>
      <c r="R1509" s="1182"/>
      <c r="S1509" s="1182"/>
      <c r="T1509" s="1182"/>
      <c r="U1509" s="1182"/>
      <c r="V1509" s="1182"/>
      <c r="W1509" s="1182"/>
      <c r="X1509" s="1182"/>
      <c r="Y1509" s="1182"/>
    </row>
    <row r="1510" spans="1:25" x14ac:dyDescent="0.2">
      <c r="A1510" s="1763"/>
      <c r="B1510" s="1763"/>
      <c r="C1510" s="1763"/>
      <c r="D1510" s="1763"/>
      <c r="E1510" s="1181"/>
      <c r="R1510" s="1182"/>
      <c r="S1510" s="1182"/>
      <c r="T1510" s="1182"/>
      <c r="U1510" s="1182"/>
      <c r="V1510" s="1182"/>
      <c r="W1510" s="1182"/>
      <c r="X1510" s="1182"/>
      <c r="Y1510" s="1182"/>
    </row>
    <row r="1511" spans="1:25" x14ac:dyDescent="0.2">
      <c r="A1511" s="1763"/>
      <c r="B1511" s="1763"/>
      <c r="C1511" s="1763"/>
      <c r="D1511" s="1763"/>
      <c r="E1511" s="1181"/>
      <c r="R1511" s="1182"/>
      <c r="S1511" s="1182"/>
      <c r="T1511" s="1182"/>
      <c r="U1511" s="1182"/>
      <c r="V1511" s="1182"/>
      <c r="W1511" s="1182"/>
      <c r="X1511" s="1182"/>
      <c r="Y1511" s="1182"/>
    </row>
    <row r="1512" spans="1:25" x14ac:dyDescent="0.2">
      <c r="A1512" s="1763"/>
      <c r="B1512" s="1763"/>
      <c r="C1512" s="1763"/>
      <c r="D1512" s="1763"/>
      <c r="E1512" s="1181"/>
      <c r="R1512" s="1182"/>
      <c r="S1512" s="1182"/>
      <c r="T1512" s="1182"/>
      <c r="U1512" s="1182"/>
      <c r="V1512" s="1182"/>
      <c r="W1512" s="1182"/>
      <c r="X1512" s="1182"/>
      <c r="Y1512" s="1182"/>
    </row>
    <row r="1513" spans="1:25" x14ac:dyDescent="0.2">
      <c r="A1513" s="1763"/>
      <c r="B1513" s="1763"/>
      <c r="C1513" s="1763"/>
      <c r="D1513" s="1763"/>
      <c r="E1513" s="1181"/>
      <c r="R1513" s="1182"/>
      <c r="S1513" s="1182"/>
      <c r="T1513" s="1182"/>
      <c r="U1513" s="1182"/>
      <c r="V1513" s="1182"/>
      <c r="W1513" s="1182"/>
      <c r="X1513" s="1182"/>
      <c r="Y1513" s="1182"/>
    </row>
    <row r="1514" spans="1:25" x14ac:dyDescent="0.2">
      <c r="A1514" s="1763"/>
      <c r="B1514" s="1763"/>
      <c r="C1514" s="1763"/>
      <c r="D1514" s="1763"/>
      <c r="E1514" s="1181"/>
      <c r="R1514" s="1182"/>
      <c r="S1514" s="1182"/>
      <c r="T1514" s="1182"/>
      <c r="U1514" s="1182"/>
      <c r="V1514" s="1182"/>
      <c r="W1514" s="1182"/>
      <c r="X1514" s="1182"/>
      <c r="Y1514" s="1182"/>
    </row>
    <row r="1515" spans="1:25" x14ac:dyDescent="0.2">
      <c r="A1515" s="1763"/>
      <c r="B1515" s="1763"/>
      <c r="C1515" s="1763"/>
      <c r="D1515" s="1763"/>
      <c r="E1515" s="1181"/>
      <c r="R1515" s="1182"/>
      <c r="S1515" s="1182"/>
      <c r="T1515" s="1182"/>
      <c r="U1515" s="1182"/>
      <c r="V1515" s="1182"/>
      <c r="W1515" s="1182"/>
      <c r="X1515" s="1182"/>
      <c r="Y1515" s="1182"/>
    </row>
    <row r="1516" spans="1:25" x14ac:dyDescent="0.2">
      <c r="A1516" s="1763"/>
      <c r="B1516" s="1763"/>
      <c r="C1516" s="1763"/>
      <c r="D1516" s="1763"/>
      <c r="E1516" s="1181"/>
      <c r="R1516" s="1182"/>
      <c r="S1516" s="1182"/>
      <c r="T1516" s="1182"/>
      <c r="U1516" s="1182"/>
      <c r="V1516" s="1182"/>
      <c r="W1516" s="1182"/>
      <c r="X1516" s="1182"/>
      <c r="Y1516" s="1182"/>
    </row>
    <row r="1517" spans="1:25" x14ac:dyDescent="0.2">
      <c r="A1517" s="1763"/>
      <c r="B1517" s="1763"/>
      <c r="C1517" s="1763"/>
      <c r="D1517" s="1763"/>
      <c r="E1517" s="1181"/>
      <c r="R1517" s="1182"/>
      <c r="S1517" s="1182"/>
      <c r="T1517" s="1182"/>
      <c r="U1517" s="1182"/>
      <c r="V1517" s="1182"/>
      <c r="W1517" s="1182"/>
      <c r="X1517" s="1182"/>
      <c r="Y1517" s="1182"/>
    </row>
    <row r="1518" spans="1:25" x14ac:dyDescent="0.2">
      <c r="A1518" s="1763"/>
      <c r="B1518" s="1763"/>
      <c r="C1518" s="1763"/>
      <c r="D1518" s="1763"/>
      <c r="E1518" s="1181"/>
      <c r="R1518" s="1182"/>
      <c r="S1518" s="1182"/>
      <c r="T1518" s="1182"/>
      <c r="U1518" s="1182"/>
      <c r="V1518" s="1182"/>
      <c r="W1518" s="1182"/>
      <c r="X1518" s="1182"/>
      <c r="Y1518" s="1182"/>
    </row>
    <row r="1519" spans="1:25" x14ac:dyDescent="0.2">
      <c r="A1519" s="1763"/>
      <c r="B1519" s="1763"/>
      <c r="C1519" s="1763"/>
      <c r="D1519" s="1763"/>
      <c r="E1519" s="1181"/>
      <c r="R1519" s="1182"/>
      <c r="S1519" s="1182"/>
      <c r="T1519" s="1182"/>
      <c r="U1519" s="1182"/>
      <c r="V1519" s="1182"/>
      <c r="W1519" s="1182"/>
      <c r="X1519" s="1182"/>
      <c r="Y1519" s="1182"/>
    </row>
    <row r="1520" spans="1:25" x14ac:dyDescent="0.2">
      <c r="A1520" s="1763"/>
      <c r="B1520" s="1763"/>
      <c r="C1520" s="1763"/>
      <c r="D1520" s="1763"/>
      <c r="E1520" s="1181"/>
      <c r="R1520" s="1182"/>
      <c r="S1520" s="1182"/>
      <c r="T1520" s="1182"/>
      <c r="U1520" s="1182"/>
      <c r="V1520" s="1182"/>
      <c r="W1520" s="1182"/>
      <c r="X1520" s="1182"/>
      <c r="Y1520" s="1182"/>
    </row>
    <row r="1521" spans="1:25" x14ac:dyDescent="0.2">
      <c r="A1521" s="1763"/>
      <c r="B1521" s="1763"/>
      <c r="C1521" s="1763"/>
      <c r="D1521" s="1763"/>
      <c r="E1521" s="1181"/>
      <c r="R1521" s="1182"/>
      <c r="S1521" s="1182"/>
      <c r="T1521" s="1182"/>
      <c r="U1521" s="1182"/>
      <c r="V1521" s="1182"/>
      <c r="W1521" s="1182"/>
      <c r="X1521" s="1182"/>
      <c r="Y1521" s="1182"/>
    </row>
    <row r="1522" spans="1:25" x14ac:dyDescent="0.2">
      <c r="A1522" s="1763"/>
      <c r="B1522" s="1763"/>
      <c r="C1522" s="1763"/>
      <c r="D1522" s="1763"/>
      <c r="E1522" s="1181"/>
      <c r="R1522" s="1182"/>
      <c r="S1522" s="1182"/>
      <c r="T1522" s="1182"/>
      <c r="U1522" s="1182"/>
      <c r="V1522" s="1182"/>
      <c r="W1522" s="1182"/>
      <c r="X1522" s="1182"/>
      <c r="Y1522" s="1182"/>
    </row>
    <row r="1523" spans="1:25" x14ac:dyDescent="0.2">
      <c r="A1523" s="1763"/>
      <c r="B1523" s="1763"/>
      <c r="C1523" s="1763"/>
      <c r="D1523" s="1763"/>
      <c r="E1523" s="1181"/>
      <c r="R1523" s="1182"/>
      <c r="S1523" s="1182"/>
      <c r="T1523" s="1182"/>
      <c r="U1523" s="1182"/>
      <c r="V1523" s="1182"/>
      <c r="W1523" s="1182"/>
      <c r="X1523" s="1182"/>
      <c r="Y1523" s="1182"/>
    </row>
    <row r="1524" spans="1:25" x14ac:dyDescent="0.2">
      <c r="A1524" s="1763"/>
      <c r="B1524" s="1763"/>
      <c r="C1524" s="1763"/>
      <c r="D1524" s="1763"/>
      <c r="E1524" s="1181"/>
      <c r="R1524" s="1182"/>
      <c r="S1524" s="1182"/>
      <c r="T1524" s="1182"/>
      <c r="U1524" s="1182"/>
      <c r="V1524" s="1182"/>
      <c r="W1524" s="1182"/>
      <c r="X1524" s="1182"/>
      <c r="Y1524" s="1182"/>
    </row>
    <row r="1525" spans="1:25" x14ac:dyDescent="0.2">
      <c r="A1525" s="1763"/>
      <c r="B1525" s="1763"/>
      <c r="C1525" s="1763"/>
      <c r="D1525" s="1763"/>
      <c r="E1525" s="1181"/>
      <c r="R1525" s="1182"/>
      <c r="S1525" s="1182"/>
      <c r="T1525" s="1182"/>
      <c r="U1525" s="1182"/>
      <c r="V1525" s="1182"/>
      <c r="W1525" s="1182"/>
      <c r="X1525" s="1182"/>
      <c r="Y1525" s="1182"/>
    </row>
    <row r="1526" spans="1:25" x14ac:dyDescent="0.2">
      <c r="A1526" s="1763"/>
      <c r="B1526" s="1763"/>
      <c r="C1526" s="1763"/>
      <c r="D1526" s="1763"/>
      <c r="E1526" s="1181"/>
      <c r="R1526" s="1182"/>
      <c r="S1526" s="1182"/>
      <c r="T1526" s="1182"/>
      <c r="U1526" s="1182"/>
      <c r="V1526" s="1182"/>
      <c r="W1526" s="1182"/>
      <c r="X1526" s="1182"/>
      <c r="Y1526" s="1182"/>
    </row>
    <row r="1527" spans="1:25" x14ac:dyDescent="0.2">
      <c r="E1527" s="1181"/>
      <c r="R1527" s="1182"/>
      <c r="S1527" s="1182"/>
      <c r="T1527" s="1182"/>
      <c r="U1527" s="1182"/>
      <c r="V1527" s="1182"/>
      <c r="W1527" s="1182"/>
      <c r="X1527" s="1182"/>
      <c r="Y1527" s="1182"/>
    </row>
    <row r="1528" spans="1:25" x14ac:dyDescent="0.2">
      <c r="E1528" s="1181"/>
      <c r="R1528" s="1182"/>
      <c r="S1528" s="1182"/>
      <c r="T1528" s="1182"/>
      <c r="U1528" s="1182"/>
      <c r="V1528" s="1182"/>
      <c r="W1528" s="1182"/>
      <c r="X1528" s="1182"/>
      <c r="Y1528" s="1182"/>
    </row>
  </sheetData>
  <mergeCells count="21">
    <mergeCell ref="A73:B73"/>
    <mergeCell ref="C30:D30"/>
    <mergeCell ref="C53:D53"/>
    <mergeCell ref="A79:B79"/>
    <mergeCell ref="C79:D79"/>
    <mergeCell ref="A67:B67"/>
    <mergeCell ref="A52:B52"/>
    <mergeCell ref="C67:D67"/>
    <mergeCell ref="A45:B45"/>
    <mergeCell ref="C73:D73"/>
    <mergeCell ref="C60:D60"/>
    <mergeCell ref="C31:D31"/>
    <mergeCell ref="C38:D38"/>
    <mergeCell ref="C45:D45"/>
    <mergeCell ref="C52:D52"/>
    <mergeCell ref="A38:B38"/>
    <mergeCell ref="C8:D8"/>
    <mergeCell ref="A14:B14"/>
    <mergeCell ref="A30:B30"/>
    <mergeCell ref="C11:D11"/>
    <mergeCell ref="C13:D13"/>
  </mergeCells>
  <phoneticPr fontId="4" type="noConversion"/>
  <dataValidations count="2">
    <dataValidation type="whole" allowBlank="1" showInputMessage="1" showErrorMessage="1" sqref="B24:B25 B18:B19">
      <formula1>0</formula1>
      <formula2>9999</formula2>
    </dataValidation>
    <dataValidation type="list" allowBlank="1" showInputMessage="1" showErrorMessage="1" sqref="B5">
      <formula1>$P$4:$P$338</formula1>
    </dataValidation>
  </dataValidations>
  <hyperlinks>
    <hyperlink ref="C6" location="_ftn1" display="¹  Grade in terms of the Remuneration of Public Office Bearers Act."/>
    <hyperlink ref="B10" r:id="rId1"/>
    <hyperlink ref="B12" r:id="rId2"/>
    <hyperlink ref="B58" r:id="rId3"/>
    <hyperlink ref="B65" r:id="rId4"/>
    <hyperlink ref="B72" r:id="rId5"/>
    <hyperlink ref="D43" r:id="rId6"/>
    <hyperlink ref="D58" r:id="rId7"/>
    <hyperlink ref="D65" r:id="rId8"/>
  </hyperlinks>
  <pageMargins left="0.75" right="0.75" top="1" bottom="1" header="0.5" footer="0.5"/>
  <pageSetup scale="68" orientation="portrait" r:id="rId9"/>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enableFormatConditionsCalculation="0">
    <tabColor indexed="42"/>
    <pageSetUpPr fitToPage="1"/>
  </sheetPr>
  <dimension ref="A1:M80"/>
  <sheetViews>
    <sheetView showGridLines="0" tabSelected="1" workbookViewId="0">
      <pane xSplit="3" ySplit="4" topLeftCell="G5"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26.42578125" style="148" customWidth="1"/>
    <col min="2" max="2" width="4.7109375" style="781" customWidth="1"/>
    <col min="3" max="3" width="26.42578125" style="148" customWidth="1"/>
    <col min="4" max="4" width="6.42578125" style="148" customWidth="1"/>
    <col min="5" max="6" width="26.42578125" style="148" customWidth="1"/>
    <col min="7" max="7" width="17.7109375" style="148" customWidth="1"/>
    <col min="8" max="13" width="9.28515625" style="148" customWidth="1"/>
    <col min="14" max="14" width="7.42578125" style="148" bestFit="1" customWidth="1"/>
    <col min="15" max="15" width="9.85546875" style="148" customWidth="1"/>
    <col min="16" max="16" width="9.5703125" style="148" customWidth="1"/>
    <col min="17" max="17" width="9.85546875" style="148" customWidth="1"/>
    <col min="18" max="20" width="9.5703125" style="148" customWidth="1"/>
    <col min="21" max="21" width="9.85546875" style="148" customWidth="1"/>
    <col min="22" max="24" width="9.5703125" style="148" customWidth="1"/>
    <col min="25" max="26" width="9.85546875" style="148" customWidth="1"/>
    <col min="27" max="16384" width="9.140625" style="148"/>
  </cols>
  <sheetData>
    <row r="1" spans="1:13" ht="13.5" customHeight="1" x14ac:dyDescent="0.25">
      <c r="A1" s="146" t="str">
        <f>muni&amp;" - "&amp;TableA37</f>
        <v>NC071 Ubuntu - Supporting Table SA37 Projects delayed from previous financial year/s</v>
      </c>
      <c r="B1" s="1666"/>
      <c r="C1" s="146"/>
      <c r="D1" s="146"/>
      <c r="E1" s="146"/>
      <c r="F1" s="146"/>
      <c r="G1" s="146"/>
      <c r="H1" s="146"/>
      <c r="I1" s="146"/>
      <c r="J1" s="146"/>
      <c r="K1" s="146"/>
      <c r="L1" s="146"/>
      <c r="M1" s="146"/>
    </row>
    <row r="2" spans="1:13" ht="23.25" customHeight="1" x14ac:dyDescent="0.25">
      <c r="A2" s="2767" t="s">
        <v>970</v>
      </c>
      <c r="B2" s="1667" t="s">
        <v>2006</v>
      </c>
      <c r="C2" s="2770" t="s">
        <v>1366</v>
      </c>
      <c r="D2" s="2750" t="s">
        <v>1367</v>
      </c>
      <c r="E2" s="2750" t="s">
        <v>2080</v>
      </c>
      <c r="F2" s="2763" t="s">
        <v>2079</v>
      </c>
      <c r="G2" s="2736" t="s">
        <v>2082</v>
      </c>
      <c r="H2" s="2763" t="str">
        <f>Head47</f>
        <v>Previous target year to complete</v>
      </c>
      <c r="I2" s="2756" t="str">
        <f>Head2</f>
        <v>Current Year 2011/12</v>
      </c>
      <c r="J2" s="2698"/>
      <c r="K2" s="2697" t="str">
        <f>Head3</f>
        <v>2012/13 Medium Term Revenue &amp; Expenditure Framework</v>
      </c>
      <c r="L2" s="2698"/>
      <c r="M2" s="2699"/>
    </row>
    <row r="3" spans="1:13" ht="25.5" x14ac:dyDescent="0.25">
      <c r="A3" s="2768"/>
      <c r="B3" s="1682" t="s">
        <v>1958</v>
      </c>
      <c r="C3" s="2771"/>
      <c r="D3" s="2773" t="s">
        <v>1805</v>
      </c>
      <c r="E3" s="2773"/>
      <c r="F3" s="2769"/>
      <c r="G3" s="2775"/>
      <c r="H3" s="2769"/>
      <c r="I3" s="576" t="str">
        <f>Head6</f>
        <v>Original Budget</v>
      </c>
      <c r="J3" s="770" t="str">
        <f>Head8</f>
        <v>Full Year Forecast</v>
      </c>
      <c r="K3" s="150" t="str">
        <f>Head9</f>
        <v>Budget Year 2012/13</v>
      </c>
      <c r="L3" s="151" t="str">
        <f>Head10</f>
        <v>Budget Year +1 2013/14</v>
      </c>
      <c r="M3" s="152" t="str">
        <f>Head11</f>
        <v>Budget Year +2 2014/15</v>
      </c>
    </row>
    <row r="4" spans="1:13" ht="11.25" customHeight="1" x14ac:dyDescent="0.25">
      <c r="A4" s="179" t="s">
        <v>667</v>
      </c>
      <c r="B4" s="1668"/>
      <c r="C4" s="2772"/>
      <c r="D4" s="2751" t="s">
        <v>1022</v>
      </c>
      <c r="E4" s="2751"/>
      <c r="F4" s="2774"/>
      <c r="G4" s="2737"/>
      <c r="H4" s="1804" t="s">
        <v>306</v>
      </c>
      <c r="I4" s="138"/>
      <c r="J4" s="139"/>
      <c r="K4" s="154"/>
      <c r="L4" s="138"/>
      <c r="M4" s="155"/>
    </row>
    <row r="5" spans="1:13" ht="11.25" customHeight="1" x14ac:dyDescent="0.25">
      <c r="A5" s="759" t="s">
        <v>1495</v>
      </c>
      <c r="B5" s="1669"/>
      <c r="C5" s="1659"/>
      <c r="D5" s="762"/>
      <c r="E5" s="763"/>
      <c r="F5" s="764"/>
      <c r="G5" s="1800"/>
      <c r="H5" s="771"/>
      <c r="I5" s="749"/>
      <c r="J5" s="772"/>
      <c r="K5" s="773"/>
      <c r="L5" s="749"/>
      <c r="M5" s="774"/>
    </row>
    <row r="6" spans="1:13" ht="11.25" customHeight="1" x14ac:dyDescent="0.25">
      <c r="A6" s="339" t="s">
        <v>1069</v>
      </c>
      <c r="B6" s="1670"/>
      <c r="C6" s="1660"/>
      <c r="D6" s="765"/>
      <c r="E6" s="766" t="s">
        <v>971</v>
      </c>
      <c r="F6" s="767" t="s">
        <v>971</v>
      </c>
      <c r="G6" s="1802"/>
      <c r="H6" s="775"/>
      <c r="I6" s="776"/>
      <c r="J6" s="777"/>
      <c r="K6" s="778"/>
      <c r="L6" s="776"/>
      <c r="M6" s="779"/>
    </row>
    <row r="7" spans="1:13" ht="11.25" customHeight="1" x14ac:dyDescent="0.25">
      <c r="A7" s="339"/>
      <c r="B7" s="1670"/>
      <c r="C7" s="1660"/>
      <c r="D7" s="765"/>
      <c r="E7" s="766"/>
      <c r="F7" s="767"/>
      <c r="G7" s="1802"/>
      <c r="H7" s="775"/>
      <c r="I7" s="776"/>
      <c r="J7" s="777"/>
      <c r="K7" s="778"/>
      <c r="L7" s="776"/>
      <c r="M7" s="779"/>
    </row>
    <row r="8" spans="1:13" ht="11.25" customHeight="1" x14ac:dyDescent="0.25">
      <c r="A8" s="1500"/>
      <c r="B8" s="1671"/>
      <c r="C8" s="1661"/>
      <c r="D8" s="1464"/>
      <c r="E8" s="1498"/>
      <c r="F8" s="1499"/>
      <c r="G8" s="1803"/>
      <c r="H8" s="1501"/>
      <c r="I8" s="1494"/>
      <c r="J8" s="1502"/>
      <c r="K8" s="1496"/>
      <c r="L8" s="1494"/>
      <c r="M8" s="1497"/>
    </row>
    <row r="9" spans="1:13" ht="11.25" customHeight="1" x14ac:dyDescent="0.25">
      <c r="A9" s="1459"/>
      <c r="B9" s="1672"/>
      <c r="C9" s="1662"/>
      <c r="D9" s="1462"/>
      <c r="E9" s="1498"/>
      <c r="F9" s="1499"/>
      <c r="G9" s="1803"/>
      <c r="H9" s="1417"/>
      <c r="I9" s="1318"/>
      <c r="J9" s="1319"/>
      <c r="K9" s="1329"/>
      <c r="L9" s="1318"/>
      <c r="M9" s="1328"/>
    </row>
    <row r="10" spans="1:13" ht="11.25" customHeight="1" x14ac:dyDescent="0.25">
      <c r="A10" s="1459"/>
      <c r="B10" s="1672"/>
      <c r="C10" s="1662"/>
      <c r="D10" s="1462"/>
      <c r="E10" s="1498"/>
      <c r="F10" s="1499"/>
      <c r="G10" s="1977"/>
      <c r="H10" s="1417"/>
      <c r="I10" s="1318"/>
      <c r="J10" s="1319"/>
      <c r="K10" s="1329"/>
      <c r="L10" s="1318"/>
      <c r="M10" s="1328"/>
    </row>
    <row r="11" spans="1:13" ht="11.25" customHeight="1" x14ac:dyDescent="0.25">
      <c r="A11" s="1500"/>
      <c r="B11" s="1671"/>
      <c r="C11" s="1662"/>
      <c r="D11" s="1462"/>
      <c r="E11" s="1498"/>
      <c r="F11" s="1499"/>
      <c r="G11" s="1803"/>
      <c r="H11" s="1417"/>
      <c r="I11" s="1318"/>
      <c r="J11" s="1319"/>
      <c r="K11" s="1329"/>
      <c r="L11" s="1318"/>
      <c r="M11" s="1328"/>
    </row>
    <row r="12" spans="1:13" ht="11.25" customHeight="1" x14ac:dyDescent="0.25">
      <c r="A12" s="1459"/>
      <c r="B12" s="1672"/>
      <c r="C12" s="1662"/>
      <c r="D12" s="1462"/>
      <c r="E12" s="1498"/>
      <c r="F12" s="1499"/>
      <c r="G12" s="1803"/>
      <c r="H12" s="1417"/>
      <c r="I12" s="1318"/>
      <c r="J12" s="1503"/>
      <c r="K12" s="1329"/>
      <c r="L12" s="1318"/>
      <c r="M12" s="1328"/>
    </row>
    <row r="13" spans="1:13" ht="11.25" customHeight="1" x14ac:dyDescent="0.25">
      <c r="A13" s="1459"/>
      <c r="B13" s="1672"/>
      <c r="C13" s="1662"/>
      <c r="D13" s="1462"/>
      <c r="E13" s="1498"/>
      <c r="F13" s="1499"/>
      <c r="G13" s="1803"/>
      <c r="H13" s="1417"/>
      <c r="I13" s="1318"/>
      <c r="J13" s="1319"/>
      <c r="K13" s="1329"/>
      <c r="L13" s="1318"/>
      <c r="M13" s="1328"/>
    </row>
    <row r="14" spans="1:13" ht="11.25" customHeight="1" x14ac:dyDescent="0.25">
      <c r="A14" s="1504"/>
      <c r="B14" s="1673"/>
      <c r="C14" s="1663"/>
      <c r="D14" s="1505"/>
      <c r="E14" s="1657"/>
      <c r="F14" s="1798"/>
      <c r="G14" s="1805"/>
      <c r="H14" s="1506"/>
      <c r="I14" s="1343"/>
      <c r="J14" s="1507"/>
      <c r="K14" s="1345"/>
      <c r="L14" s="1343"/>
      <c r="M14" s="1344"/>
    </row>
    <row r="15" spans="1:13" ht="11.25" customHeight="1" x14ac:dyDescent="0.25">
      <c r="A15" s="257" t="s">
        <v>16</v>
      </c>
      <c r="B15" s="1674"/>
      <c r="C15" s="1664"/>
      <c r="D15" s="666"/>
      <c r="E15" s="769"/>
      <c r="F15" s="1774"/>
      <c r="G15" s="1806"/>
      <c r="H15" s="537"/>
      <c r="I15" s="205"/>
      <c r="J15" s="474"/>
      <c r="K15" s="246"/>
      <c r="L15" s="205"/>
      <c r="M15" s="256"/>
    </row>
    <row r="16" spans="1:13" ht="11.25" customHeight="1" x14ac:dyDescent="0.25">
      <c r="A16" s="339" t="s">
        <v>1501</v>
      </c>
      <c r="B16" s="1670"/>
      <c r="C16" s="1664"/>
      <c r="D16" s="666"/>
      <c r="E16" s="769"/>
      <c r="F16" s="1774"/>
      <c r="G16" s="1806"/>
      <c r="H16" s="537"/>
      <c r="I16" s="205"/>
      <c r="J16" s="474"/>
      <c r="K16" s="246"/>
      <c r="L16" s="205"/>
      <c r="M16" s="256"/>
    </row>
    <row r="17" spans="1:13" ht="11.25" customHeight="1" x14ac:dyDescent="0.25">
      <c r="A17" s="780"/>
      <c r="B17" s="1675"/>
      <c r="C17" s="1664"/>
      <c r="D17" s="666"/>
      <c r="E17" s="769"/>
      <c r="F17" s="1774"/>
      <c r="G17" s="1806"/>
      <c r="H17" s="537"/>
      <c r="I17" s="205"/>
      <c r="J17" s="474"/>
      <c r="K17" s="246"/>
      <c r="L17" s="205"/>
      <c r="M17" s="256"/>
    </row>
    <row r="18" spans="1:13" ht="11.25" customHeight="1" x14ac:dyDescent="0.25">
      <c r="A18" s="1508" t="s">
        <v>1502</v>
      </c>
      <c r="B18" s="1676"/>
      <c r="C18" s="1662"/>
      <c r="D18" s="1462"/>
      <c r="E18" s="1498"/>
      <c r="F18" s="1499"/>
      <c r="G18" s="1803"/>
      <c r="H18" s="1417"/>
      <c r="I18" s="1318"/>
      <c r="J18" s="1319"/>
      <c r="K18" s="1329"/>
      <c r="L18" s="1318"/>
      <c r="M18" s="1328"/>
    </row>
    <row r="19" spans="1:13" ht="11.25" customHeight="1" x14ac:dyDescent="0.25">
      <c r="A19" s="1460" t="s">
        <v>1366</v>
      </c>
      <c r="B19" s="1677"/>
      <c r="C19" s="1662"/>
      <c r="D19" s="1462"/>
      <c r="E19" s="1498"/>
      <c r="F19" s="1499"/>
      <c r="G19" s="1803"/>
      <c r="H19" s="1417"/>
      <c r="I19" s="1318"/>
      <c r="J19" s="1319"/>
      <c r="K19" s="1329"/>
      <c r="L19" s="1318"/>
      <c r="M19" s="1328"/>
    </row>
    <row r="20" spans="1:13" ht="11.25" customHeight="1" x14ac:dyDescent="0.25">
      <c r="A20" s="1461"/>
      <c r="B20" s="1678"/>
      <c r="C20" s="1662"/>
      <c r="D20" s="1462"/>
      <c r="E20" s="1498"/>
      <c r="F20" s="1499"/>
      <c r="G20" s="1803"/>
      <c r="H20" s="1417"/>
      <c r="I20" s="1318"/>
      <c r="J20" s="1319"/>
      <c r="K20" s="1329"/>
      <c r="L20" s="1318"/>
      <c r="M20" s="1328"/>
    </row>
    <row r="21" spans="1:13" ht="11.25" customHeight="1" x14ac:dyDescent="0.25">
      <c r="A21" s="1459"/>
      <c r="B21" s="1672"/>
      <c r="C21" s="1662"/>
      <c r="D21" s="1462"/>
      <c r="E21" s="1498"/>
      <c r="F21" s="1499"/>
      <c r="G21" s="1803"/>
      <c r="H21" s="1417"/>
      <c r="I21" s="1318"/>
      <c r="J21" s="1319"/>
      <c r="K21" s="1329"/>
      <c r="L21" s="1318"/>
      <c r="M21" s="1328"/>
    </row>
    <row r="22" spans="1:13" ht="11.25" customHeight="1" x14ac:dyDescent="0.25">
      <c r="A22" s="1459"/>
      <c r="B22" s="1672"/>
      <c r="C22" s="1662"/>
      <c r="D22" s="1462"/>
      <c r="E22" s="1498"/>
      <c r="F22" s="1499"/>
      <c r="G22" s="1803"/>
      <c r="H22" s="1417"/>
      <c r="I22" s="1318"/>
      <c r="J22" s="1319"/>
      <c r="K22" s="1329"/>
      <c r="L22" s="1318"/>
      <c r="M22" s="1328"/>
    </row>
    <row r="23" spans="1:13" ht="11.25" customHeight="1" x14ac:dyDescent="0.25">
      <c r="A23" s="1509"/>
      <c r="B23" s="1679"/>
      <c r="C23" s="1665"/>
      <c r="D23" s="1510"/>
      <c r="E23" s="1658"/>
      <c r="F23" s="1799"/>
      <c r="G23" s="1807"/>
      <c r="H23" s="1511"/>
      <c r="I23" s="1355"/>
      <c r="J23" s="1512"/>
      <c r="K23" s="1357"/>
      <c r="L23" s="1355"/>
      <c r="M23" s="1356"/>
    </row>
    <row r="24" spans="1:13" ht="11.25" customHeight="1" x14ac:dyDescent="0.25">
      <c r="A24" s="288" t="str">
        <f>head27a</f>
        <v>References</v>
      </c>
      <c r="B24" s="1680"/>
      <c r="E24" s="241"/>
      <c r="F24" s="241"/>
      <c r="G24" s="241"/>
      <c r="H24" s="241"/>
      <c r="I24" s="241"/>
      <c r="J24" s="241"/>
    </row>
    <row r="25" spans="1:13" ht="11.25" customHeight="1" x14ac:dyDescent="0.25">
      <c r="A25" s="289" t="s">
        <v>1658</v>
      </c>
      <c r="B25" s="1681"/>
    </row>
    <row r="26" spans="1:13" ht="11.25" customHeight="1" x14ac:dyDescent="0.25">
      <c r="A26" s="289" t="s">
        <v>878</v>
      </c>
      <c r="B26" s="1681"/>
    </row>
    <row r="27" spans="1:13" ht="11.25" customHeight="1" x14ac:dyDescent="0.25">
      <c r="A27" s="289" t="s">
        <v>2009</v>
      </c>
      <c r="B27" s="1681"/>
    </row>
    <row r="28" spans="1:13" ht="11.25" customHeight="1" x14ac:dyDescent="0.25">
      <c r="A28" s="148" t="s">
        <v>2081</v>
      </c>
    </row>
    <row r="29" spans="1:13" ht="11.25" customHeight="1" x14ac:dyDescent="0.25"/>
    <row r="30" spans="1:13" ht="11.25" customHeight="1" x14ac:dyDescent="0.25"/>
    <row r="31" spans="1:13" ht="11.25" customHeight="1" x14ac:dyDescent="0.25"/>
    <row r="32" spans="1:13" ht="11.25" customHeight="1" x14ac:dyDescent="0.25"/>
    <row r="33" ht="11.25" customHeight="1" x14ac:dyDescent="0.25"/>
    <row r="34" ht="11.25" customHeight="1" x14ac:dyDescent="0.25"/>
    <row r="35" ht="11.25" customHeight="1" x14ac:dyDescent="0.25"/>
    <row r="36" ht="11.25" customHeight="1" x14ac:dyDescent="0.25"/>
    <row r="37" ht="11.25" customHeight="1" x14ac:dyDescent="0.25"/>
    <row r="40" ht="11.25" customHeight="1" x14ac:dyDescent="0.25"/>
    <row r="41" ht="2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9">
    <mergeCell ref="A2:A3"/>
    <mergeCell ref="H2:H3"/>
    <mergeCell ref="I2:J2"/>
    <mergeCell ref="K2:M2"/>
    <mergeCell ref="C2:C4"/>
    <mergeCell ref="D2:D4"/>
    <mergeCell ref="F2:F4"/>
    <mergeCell ref="E2:E4"/>
    <mergeCell ref="G2:G4"/>
  </mergeCells>
  <phoneticPr fontId="4" type="noConversion"/>
  <dataValidations count="2">
    <dataValidation type="list" allowBlank="1" showInputMessage="1" showErrorMessage="1" promptTitle="Select Asset Class" prompt="Select asset class from list" sqref="E8:E14 E18:E23">
      <formula1>Asset_Class</formula1>
    </dataValidation>
    <dataValidation type="list" allowBlank="1" showInputMessage="1" showErrorMessage="1" promptTitle="Select Asset Sub-Class" prompt="Select asset sub class from list" sqref="F18:F23 F8:F14">
      <formula1>Asset_sub_class</formula1>
    </dataValidation>
  </dataValidations>
  <pageMargins left="0.75" right="0.75" top="1" bottom="1" header="0.5" footer="0.5"/>
  <pageSetup scale="47"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33"/>
    <pageSetUpPr fitToPage="1"/>
  </sheetPr>
  <dimension ref="A1:AK83"/>
  <sheetViews>
    <sheetView workbookViewId="0">
      <pane xSplit="2" ySplit="5" topLeftCell="C33" activePane="bottomRight" state="frozen"/>
      <selection pane="topRight"/>
      <selection pane="bottomLeft"/>
      <selection pane="bottomRight" sqref="A1:M1"/>
    </sheetView>
  </sheetViews>
  <sheetFormatPr defaultRowHeight="11.25" x14ac:dyDescent="0.2"/>
  <cols>
    <col min="1" max="1" width="40.7109375" style="2" customWidth="1"/>
    <col min="2" max="2" width="3.5703125" style="2" customWidth="1"/>
    <col min="3" max="3" width="9.140625" style="2" hidden="1" customWidth="1"/>
    <col min="4" max="16384" width="9.140625" style="2"/>
  </cols>
  <sheetData>
    <row r="1" spans="1:37" ht="12.75" x14ac:dyDescent="0.2">
      <c r="A1" s="2776" t="str">
        <f>"Financial summary for the " &amp;muni&amp; "eThekwini"</f>
        <v>Financial summary for the NC071 UbuntueThekwini</v>
      </c>
      <c r="B1" s="2777"/>
      <c r="C1" s="2777"/>
      <c r="D1" s="2777"/>
      <c r="E1" s="2777"/>
      <c r="F1" s="2777"/>
      <c r="G1" s="2777"/>
      <c r="H1" s="2777"/>
      <c r="I1" s="2777"/>
      <c r="J1" s="2777"/>
      <c r="K1" s="2777"/>
      <c r="L1" s="2777"/>
      <c r="M1" s="2778"/>
      <c r="N1"/>
      <c r="O1"/>
      <c r="P1"/>
      <c r="Q1"/>
      <c r="R1"/>
      <c r="S1"/>
      <c r="T1"/>
      <c r="U1"/>
      <c r="V1"/>
      <c r="W1"/>
      <c r="X1"/>
      <c r="Y1"/>
    </row>
    <row r="2" spans="1:37" ht="13.5" thickBot="1" x14ac:dyDescent="0.25">
      <c r="A2" s="121" t="str">
        <f>muni&amp;SFPerf2</f>
        <v>NC071 UbuntuForecast Financial Performance</v>
      </c>
      <c r="B2" s="122"/>
      <c r="C2" s="122"/>
      <c r="D2" s="122"/>
      <c r="E2" s="122"/>
      <c r="F2" s="122"/>
      <c r="G2" s="122"/>
      <c r="H2" s="122"/>
      <c r="I2" s="122"/>
      <c r="J2" s="122"/>
      <c r="K2" s="122"/>
      <c r="L2" s="122"/>
      <c r="M2" s="122"/>
      <c r="N2"/>
      <c r="O2"/>
      <c r="P2"/>
      <c r="Q2"/>
      <c r="R2"/>
      <c r="S2"/>
      <c r="T2"/>
      <c r="U2"/>
      <c r="V2"/>
      <c r="W2"/>
      <c r="X2"/>
      <c r="Y2"/>
      <c r="Z2"/>
      <c r="AA2"/>
      <c r="AB2"/>
      <c r="AC2"/>
      <c r="AD2"/>
      <c r="AE2"/>
      <c r="AF2"/>
      <c r="AG2"/>
      <c r="AH2"/>
      <c r="AI2"/>
      <c r="AJ2"/>
      <c r="AK2"/>
    </row>
    <row r="3" spans="1:37" ht="22.5" customHeight="1" x14ac:dyDescent="0.2">
      <c r="A3" s="2779" t="str">
        <f>desc</f>
        <v>Description</v>
      </c>
      <c r="B3" s="2779" t="str">
        <f>head27</f>
        <v>Ref</v>
      </c>
      <c r="C3" s="36"/>
      <c r="D3" s="35" t="str">
        <f>head1b</f>
        <v>2008/9</v>
      </c>
      <c r="E3" s="35" t="str">
        <f>head1A</f>
        <v>2009/10</v>
      </c>
      <c r="F3" s="35" t="str">
        <f>Head1</f>
        <v>2010/11</v>
      </c>
      <c r="G3" s="2782" t="str">
        <f>Head2</f>
        <v>Current Year 2011/12</v>
      </c>
      <c r="H3" s="2783"/>
      <c r="I3" s="2783"/>
      <c r="J3" s="795"/>
      <c r="K3" s="2784" t="str">
        <f>Head3</f>
        <v>2012/13 Medium Term Revenue &amp; Expenditure Framework</v>
      </c>
      <c r="L3" s="2785"/>
      <c r="M3" s="2786"/>
      <c r="N3"/>
      <c r="O3"/>
      <c r="P3"/>
      <c r="Q3"/>
      <c r="R3"/>
      <c r="S3"/>
      <c r="T3"/>
      <c r="U3"/>
      <c r="V3"/>
      <c r="W3"/>
      <c r="X3"/>
      <c r="Y3"/>
    </row>
    <row r="4" spans="1:37" ht="33.75" x14ac:dyDescent="0.2">
      <c r="A4" s="2780"/>
      <c r="B4" s="2780"/>
      <c r="C4" s="61"/>
      <c r="D4" s="34" t="str">
        <f>Head5</f>
        <v>Audited Outcome</v>
      </c>
      <c r="E4" s="34" t="str">
        <f>Head5</f>
        <v>Audited Outcome</v>
      </c>
      <c r="F4" s="34" t="str">
        <f>Head5</f>
        <v>Audited Outcome</v>
      </c>
      <c r="G4" s="34" t="str">
        <f>Head6</f>
        <v>Original Budget</v>
      </c>
      <c r="H4" s="34" t="str">
        <f>Head7</f>
        <v>Adjusted Budget</v>
      </c>
      <c r="I4" s="39" t="str">
        <f>Head8</f>
        <v>Full Year Forecast</v>
      </c>
      <c r="J4" s="39"/>
      <c r="K4" s="27" t="str">
        <f>Head9</f>
        <v>Budget Year 2012/13</v>
      </c>
      <c r="L4" s="26" t="str">
        <f>Head10</f>
        <v>Budget Year +1 2013/14</v>
      </c>
      <c r="M4" s="28" t="str">
        <f>Head11</f>
        <v>Budget Year +2 2014/15</v>
      </c>
      <c r="N4"/>
      <c r="O4"/>
      <c r="P4"/>
      <c r="Q4"/>
      <c r="R4"/>
      <c r="S4"/>
      <c r="T4"/>
      <c r="U4"/>
      <c r="V4"/>
      <c r="W4"/>
      <c r="X4"/>
      <c r="Y4"/>
    </row>
    <row r="5" spans="1:37" ht="12.75" x14ac:dyDescent="0.2">
      <c r="A5" s="2781"/>
      <c r="B5" s="33">
        <v>1</v>
      </c>
      <c r="C5" s="33"/>
      <c r="D5" s="30" t="s">
        <v>1022</v>
      </c>
      <c r="E5" s="30" t="s">
        <v>1022</v>
      </c>
      <c r="F5" s="30" t="s">
        <v>1022</v>
      </c>
      <c r="G5" s="30" t="s">
        <v>1022</v>
      </c>
      <c r="H5" s="30" t="s">
        <v>1022</v>
      </c>
      <c r="I5" s="31" t="s">
        <v>1022</v>
      </c>
      <c r="J5" s="31"/>
      <c r="K5" s="29" t="s">
        <v>1022</v>
      </c>
      <c r="L5" s="30" t="s">
        <v>1022</v>
      </c>
      <c r="M5" s="32" t="s">
        <v>1022</v>
      </c>
      <c r="N5"/>
      <c r="O5"/>
      <c r="P5"/>
      <c r="Q5"/>
      <c r="R5"/>
      <c r="S5"/>
      <c r="T5"/>
      <c r="U5"/>
      <c r="V5"/>
      <c r="W5"/>
      <c r="X5"/>
      <c r="Y5"/>
    </row>
    <row r="6" spans="1:37" ht="12.75" x14ac:dyDescent="0.2">
      <c r="A6" s="15" t="s">
        <v>1818</v>
      </c>
      <c r="B6" s="13"/>
      <c r="C6" s="13"/>
      <c r="D6" s="836" t="s">
        <v>1697</v>
      </c>
      <c r="E6" s="72"/>
      <c r="F6" s="72"/>
      <c r="G6" s="72"/>
      <c r="H6" s="72"/>
      <c r="I6" s="73"/>
      <c r="J6" s="810"/>
      <c r="K6" s="74"/>
      <c r="L6" s="72"/>
      <c r="M6" s="75"/>
      <c r="N6"/>
      <c r="O6"/>
      <c r="P6"/>
      <c r="Q6"/>
      <c r="R6"/>
      <c r="S6"/>
      <c r="T6"/>
      <c r="U6"/>
      <c r="V6"/>
      <c r="W6"/>
      <c r="X6"/>
      <c r="Y6"/>
    </row>
    <row r="7" spans="1:37" ht="12.75" x14ac:dyDescent="0.2">
      <c r="A7" s="15" t="s">
        <v>832</v>
      </c>
      <c r="B7" s="13"/>
      <c r="C7" s="13"/>
      <c r="D7" s="76"/>
      <c r="E7" s="76"/>
      <c r="F7" s="76"/>
      <c r="G7" s="76"/>
      <c r="H7" s="76"/>
      <c r="I7" s="77"/>
      <c r="J7" s="811"/>
      <c r="K7" s="78"/>
      <c r="L7" s="76"/>
      <c r="M7" s="79"/>
      <c r="N7"/>
      <c r="O7"/>
      <c r="P7"/>
      <c r="Q7"/>
      <c r="R7"/>
      <c r="S7"/>
      <c r="T7"/>
      <c r="U7"/>
      <c r="V7"/>
      <c r="W7"/>
      <c r="X7"/>
      <c r="Y7"/>
    </row>
    <row r="8" spans="1:37" ht="12.75" x14ac:dyDescent="0.2">
      <c r="A8" s="69" t="s">
        <v>620</v>
      </c>
      <c r="B8" s="13"/>
      <c r="C8" s="13"/>
      <c r="D8" s="80" t="e">
        <f>SUM(D9:D10)</f>
        <v>#REF!</v>
      </c>
      <c r="E8" s="80" t="e">
        <f t="shared" ref="E8:M8" si="0">SUM(E9:E10)</f>
        <v>#REF!</v>
      </c>
      <c r="F8" s="80" t="e">
        <f t="shared" si="0"/>
        <v>#REF!</v>
      </c>
      <c r="G8" s="80" t="e">
        <f t="shared" si="0"/>
        <v>#REF!</v>
      </c>
      <c r="H8" s="80" t="e">
        <f t="shared" si="0"/>
        <v>#REF!</v>
      </c>
      <c r="I8" s="81" t="e">
        <f t="shared" si="0"/>
        <v>#REF!</v>
      </c>
      <c r="J8" s="812" t="e">
        <f>SUM(J9:J10)</f>
        <v>#REF!</v>
      </c>
      <c r="K8" s="82" t="e">
        <f t="shared" si="0"/>
        <v>#REF!</v>
      </c>
      <c r="L8" s="80" t="e">
        <f t="shared" si="0"/>
        <v>#REF!</v>
      </c>
      <c r="M8" s="83" t="e">
        <f t="shared" si="0"/>
        <v>#REF!</v>
      </c>
      <c r="N8"/>
      <c r="O8"/>
      <c r="P8"/>
      <c r="Q8"/>
      <c r="R8"/>
      <c r="S8"/>
      <c r="T8"/>
      <c r="U8"/>
      <c r="V8"/>
      <c r="W8"/>
      <c r="X8"/>
      <c r="Y8"/>
    </row>
    <row r="9" spans="1:37" x14ac:dyDescent="0.2">
      <c r="A9" s="97" t="str">
        <f>'A4-FinPerf RE'!A5</f>
        <v>Property rates</v>
      </c>
      <c r="B9" s="13"/>
      <c r="C9" s="13"/>
      <c r="D9" s="107">
        <f>IF(ISERROR('A4-FinPerf RE'!C5+'A4-FinPerf RE'!C6+D71),0,('A4-FinPerf RE'!C5+'A4-FinPerf RE'!C6+D71))</f>
        <v>2843592.94</v>
      </c>
      <c r="E9" s="107">
        <f>IF(ISERROR('A4-FinPerf RE'!D5+'A4-FinPerf RE'!D6+E71),0,('A4-FinPerf RE'!D5+'A4-FinPerf RE'!D6+E71))</f>
        <v>4882363.01</v>
      </c>
      <c r="F9" s="107">
        <f>IF(ISERROR('A4-FinPerf RE'!E5+'A4-FinPerf RE'!E6+F71),0,('A4-FinPerf RE'!E5+'A4-FinPerf RE'!E6+F71))</f>
        <v>2997760.0211719652</v>
      </c>
      <c r="G9" s="107">
        <f>IF(ISERROR('A4-FinPerf RE'!F5+'A4-FinPerf RE'!F6+G71),0,('A4-FinPerf RE'!F5+'A4-FinPerf RE'!F6+G71))</f>
        <v>2877248</v>
      </c>
      <c r="H9" s="107">
        <f>IF(ISERROR('A4-FinPerf RE'!G5+'A4-FinPerf RE'!G6+H71),0,('A4-FinPerf RE'!G5+'A4-FinPerf RE'!G6+H71))</f>
        <v>5087459</v>
      </c>
      <c r="I9" s="108">
        <f>IF(ISERROR('A4-FinPerf RE'!H5+'A4-FinPerf RE'!H6+I71),0,('A4-FinPerf RE'!H5+'A4-FinPerf RE'!H6+I71))</f>
        <v>4305538</v>
      </c>
      <c r="J9" s="813">
        <f>IF(ISERROR('A4-FinPerf RE'!I5+'A4-FinPerf RE'!I6+J71),0,('A4-FinPerf RE'!I5+'A4-FinPerf RE'!I6+J71))</f>
        <v>4305538</v>
      </c>
      <c r="K9" s="109">
        <f>IF(ISERROR('A4-FinPerf RE'!J5+'A4-FinPerf RE'!J6+K71),0,('A4-FinPerf RE'!J5+'A4-FinPerf RE'!J6+K71))</f>
        <v>6196106.2399299834</v>
      </c>
      <c r="L9" s="107">
        <f>IF(ISERROR('A4-FinPerf RE'!K5+'A4-FinPerf RE'!K6+L71),0,('A4-FinPerf RE'!K5+'A4-FinPerf RE'!K6+L71))</f>
        <v>6567872.6143257823</v>
      </c>
      <c r="M9" s="119">
        <f>IF(ISERROR('A4-FinPerf RE'!L5+'A4-FinPerf RE'!L6+M71),0,('A4-FinPerf RE'!L5+'A4-FinPerf RE'!L6+M71))</f>
        <v>6961944.9711853284</v>
      </c>
    </row>
    <row r="10" spans="1:37" x14ac:dyDescent="0.2">
      <c r="A10" s="97" t="s">
        <v>1349</v>
      </c>
      <c r="B10" s="13"/>
      <c r="C10" s="13"/>
      <c r="D10" s="113" t="e">
        <f>'SA1'!C33+'SA1'!#REF!</f>
        <v>#REF!</v>
      </c>
      <c r="E10" s="113" t="e">
        <f>'SA1'!D33+'SA1'!#REF!</f>
        <v>#REF!</v>
      </c>
      <c r="F10" s="113" t="e">
        <f>'SA1'!E33+'SA1'!#REF!</f>
        <v>#REF!</v>
      </c>
      <c r="G10" s="113" t="e">
        <f>'SA1'!F33+'SA1'!#REF!</f>
        <v>#REF!</v>
      </c>
      <c r="H10" s="113" t="e">
        <f>'SA1'!G33+'SA1'!#REF!</f>
        <v>#REF!</v>
      </c>
      <c r="I10" s="114" t="e">
        <f>'SA1'!H33+'SA1'!#REF!</f>
        <v>#REF!</v>
      </c>
      <c r="J10" s="814" t="e">
        <f>'SA1'!I33+'SA1'!#REF!</f>
        <v>#REF!</v>
      </c>
      <c r="K10" s="115" t="e">
        <f>'SA1'!J33+'SA1'!#REF!</f>
        <v>#REF!</v>
      </c>
      <c r="L10" s="113" t="e">
        <f>'SA1'!K33+'SA1'!#REF!</f>
        <v>#REF!</v>
      </c>
      <c r="M10" s="120" t="e">
        <f>'SA1'!L33+'SA1'!#REF!</f>
        <v>#REF!</v>
      </c>
    </row>
    <row r="11" spans="1:37" x14ac:dyDescent="0.2">
      <c r="A11" s="69" t="s">
        <v>621</v>
      </c>
      <c r="B11" s="13"/>
      <c r="C11" s="13"/>
      <c r="D11" s="80" t="e">
        <f>SUM(D12:D14)</f>
        <v>#REF!</v>
      </c>
      <c r="E11" s="80" t="e">
        <f t="shared" ref="E11:M11" si="1">SUM(E12:E14)</f>
        <v>#REF!</v>
      </c>
      <c r="F11" s="80" t="e">
        <f t="shared" si="1"/>
        <v>#REF!</v>
      </c>
      <c r="G11" s="80" t="e">
        <f t="shared" si="1"/>
        <v>#REF!</v>
      </c>
      <c r="H11" s="80" t="e">
        <f t="shared" si="1"/>
        <v>#REF!</v>
      </c>
      <c r="I11" s="81" t="e">
        <f t="shared" si="1"/>
        <v>#REF!</v>
      </c>
      <c r="J11" s="812" t="e">
        <f>SUM(J12:J14)</f>
        <v>#REF!</v>
      </c>
      <c r="K11" s="82" t="e">
        <f t="shared" si="1"/>
        <v>#REF!</v>
      </c>
      <c r="L11" s="80" t="e">
        <f t="shared" si="1"/>
        <v>#REF!</v>
      </c>
      <c r="M11" s="83" t="e">
        <f t="shared" si="1"/>
        <v>#REF!</v>
      </c>
    </row>
    <row r="12" spans="1:37" x14ac:dyDescent="0.2">
      <c r="A12" s="70" t="s">
        <v>611</v>
      </c>
      <c r="B12" s="10"/>
      <c r="C12" s="6"/>
      <c r="D12" s="84">
        <f>'A4-FinPerf RE'!C17+'A4-FinPerf RE'!C18</f>
        <v>276125.62</v>
      </c>
      <c r="E12" s="84">
        <f>'A4-FinPerf RE'!D17+'A4-FinPerf RE'!D18</f>
        <v>315044.28000000003</v>
      </c>
      <c r="F12" s="84">
        <f>'A4-FinPerf RE'!E17+'A4-FinPerf RE'!E18</f>
        <v>489595.66</v>
      </c>
      <c r="G12" s="84">
        <f>'A4-FinPerf RE'!F17+'A4-FinPerf RE'!F18</f>
        <v>439800</v>
      </c>
      <c r="H12" s="84">
        <f>'A4-FinPerf RE'!G17+'A4-FinPerf RE'!G18</f>
        <v>576300</v>
      </c>
      <c r="I12" s="85">
        <f>'A4-FinPerf RE'!H17+'A4-FinPerf RE'!H18</f>
        <v>576300</v>
      </c>
      <c r="J12" s="815">
        <f>'A4-FinPerf RE'!I17+'A4-FinPerf RE'!I18</f>
        <v>576300</v>
      </c>
      <c r="K12" s="86">
        <f>'A4-FinPerf RE'!J17+'A4-FinPerf RE'!J18</f>
        <v>431000</v>
      </c>
      <c r="L12" s="84">
        <f>'A4-FinPerf RE'!K17+'A4-FinPerf RE'!K18</f>
        <v>456860</v>
      </c>
      <c r="M12" s="87">
        <f>'A4-FinPerf RE'!L17+'A4-FinPerf RE'!L18</f>
        <v>484271.60000000003</v>
      </c>
    </row>
    <row r="13" spans="1:37" x14ac:dyDescent="0.2">
      <c r="A13" s="70" t="s">
        <v>1819</v>
      </c>
      <c r="B13" s="10"/>
      <c r="C13" s="6"/>
      <c r="D13" s="76">
        <f>IF(ISERROR(SUM('A4-FinPerf RE'!C7:C11)+D72),0,(SUM('A4-FinPerf RE'!C7:C11)+D72))</f>
        <v>11981661.828333333</v>
      </c>
      <c r="E13" s="76">
        <f>IF(ISERROR(SUM('A4-FinPerf RE'!D7:D11)+E72),0,(SUM('A4-FinPerf RE'!D7:D11)+E72))</f>
        <v>15234309.920000002</v>
      </c>
      <c r="F13" s="76">
        <f>IF(ISERROR(SUM('A4-FinPerf RE'!E7:E11)+F72),0,(SUM('A4-FinPerf RE'!E7:E11)+F72))</f>
        <v>18221239.91</v>
      </c>
      <c r="G13" s="76">
        <f>IF(ISERROR(SUM('A4-FinPerf RE'!F7:F11)+G72),0,(SUM('A4-FinPerf RE'!F7:F11)+G72))</f>
        <v>8601980.4386</v>
      </c>
      <c r="H13" s="76">
        <f>IF(ISERROR(SUM('A4-FinPerf RE'!G7:G11)+H72),0,(SUM('A4-FinPerf RE'!G7:G11)+H72))</f>
        <v>17253660.449999999</v>
      </c>
      <c r="I13" s="77">
        <f>IF(ISERROR(SUM('A4-FinPerf RE'!H7:H11)+I72),0,(SUM('A4-FinPerf RE'!H7:H11)+I72))</f>
        <v>14606103</v>
      </c>
      <c r="J13" s="811">
        <f>IF(ISERROR(SUM('A4-FinPerf RE'!I7:I11)+J72),0,(SUM('A4-FinPerf RE'!I7:I11)+J72))</f>
        <v>14606103</v>
      </c>
      <c r="K13" s="78">
        <f>IF(ISERROR(SUM('A4-FinPerf RE'!J7:J11)+K72),0,(SUM('A4-FinPerf RE'!J7:J11)+K72))</f>
        <v>21394358.976840001</v>
      </c>
      <c r="L13" s="76">
        <f>IF(ISERROR(SUM('A4-FinPerf RE'!K7:K11)+L72),0,(SUM('A4-FinPerf RE'!K7:K11)+L72))</f>
        <v>22678020.515450403</v>
      </c>
      <c r="M13" s="79">
        <f>IF(ISERROR(SUM('A4-FinPerf RE'!L7:L11)+M72),0,(SUM('A4-FinPerf RE'!L7:L11)+M72))</f>
        <v>24038701.74037743</v>
      </c>
    </row>
    <row r="14" spans="1:37" x14ac:dyDescent="0.2">
      <c r="A14" s="70" t="s">
        <v>1820</v>
      </c>
      <c r="B14" s="10"/>
      <c r="C14" s="6"/>
      <c r="D14" s="76" t="e">
        <f>SUM(D15)</f>
        <v>#REF!</v>
      </c>
      <c r="E14" s="76" t="e">
        <f t="shared" ref="E14:M14" si="2">SUM(E15)</f>
        <v>#REF!</v>
      </c>
      <c r="F14" s="76" t="e">
        <f t="shared" si="2"/>
        <v>#REF!</v>
      </c>
      <c r="G14" s="76" t="e">
        <f t="shared" si="2"/>
        <v>#REF!</v>
      </c>
      <c r="H14" s="76" t="e">
        <f t="shared" si="2"/>
        <v>#REF!</v>
      </c>
      <c r="I14" s="77" t="e">
        <f t="shared" si="2"/>
        <v>#REF!</v>
      </c>
      <c r="J14" s="811" t="e">
        <f t="shared" si="2"/>
        <v>#REF!</v>
      </c>
      <c r="K14" s="78" t="e">
        <f t="shared" si="2"/>
        <v>#REF!</v>
      </c>
      <c r="L14" s="76" t="e">
        <f t="shared" si="2"/>
        <v>#REF!</v>
      </c>
      <c r="M14" s="79" t="e">
        <f t="shared" si="2"/>
        <v>#REF!</v>
      </c>
    </row>
    <row r="15" spans="1:37" x14ac:dyDescent="0.2">
      <c r="A15" s="71" t="s">
        <v>293</v>
      </c>
      <c r="B15" s="10"/>
      <c r="C15" s="6"/>
      <c r="D15" s="125" t="e">
        <f>'A7-CFlow'!C6+'A7-CFlow'!C20+'A7-CFlow'!C21-NERF!D8-NERF!D12-NERF!D13-NERF!D22-D26</f>
        <v>#REF!</v>
      </c>
      <c r="E15" s="88" t="e">
        <f>'A7-CFlow'!D6+'A7-CFlow'!D20+'A7-CFlow'!D21-NERF!E8-NERF!E12-NERF!E13-NERF!E22-E26</f>
        <v>#REF!</v>
      </c>
      <c r="F15" s="88" t="e">
        <f>'A7-CFlow'!E6+'A7-CFlow'!E20+'A7-CFlow'!E21-NERF!F8-NERF!F12-NERF!F13-NERF!F22-F26</f>
        <v>#REF!</v>
      </c>
      <c r="G15" s="88" t="e">
        <f>'A7-CFlow'!F6+'A7-CFlow'!F20+'A7-CFlow'!F21-NERF!G8-NERF!G12-NERF!G13-NERF!G22-G26-G82</f>
        <v>#REF!</v>
      </c>
      <c r="H15" s="88" t="e">
        <f>'A7-CFlow'!G6+'A7-CFlow'!G20+'A7-CFlow'!G21-NERF!H8-NERF!H12-NERF!H13-NERF!H22-H26-H82</f>
        <v>#REF!</v>
      </c>
      <c r="I15" s="89" t="e">
        <f>'A7-CFlow'!H6+'A7-CFlow'!H20+'A7-CFlow'!H21-NERF!I8-NERF!I12-NERF!I13-NERF!I22-I26-I82</f>
        <v>#REF!</v>
      </c>
      <c r="J15" s="816" t="e">
        <f>'A7-CFlow'!I6+'A7-CFlow'!I20+'A7-CFlow'!I21-NERF!J8-NERF!J12-NERF!J13-NERF!J22-J26-J82</f>
        <v>#REF!</v>
      </c>
      <c r="K15" s="90" t="e">
        <f>'A7-CFlow'!J6+'A7-CFlow'!J20+'A7-CFlow'!J21-NERF!K8-NERF!K12-NERF!K13-NERF!K22-K26-K82</f>
        <v>#REF!</v>
      </c>
      <c r="L15" s="88" t="e">
        <f>'A7-CFlow'!K6+'A7-CFlow'!K20+'A7-CFlow'!K21-NERF!L8-NERF!L12-NERF!L13-NERF!L22-L26-L82</f>
        <v>#REF!</v>
      </c>
      <c r="M15" s="91" t="e">
        <f>'A7-CFlow'!L6+'A7-CFlow'!L20+'A7-CFlow'!L21-NERF!M8-NERF!M12-NERF!M13-NERF!M22-M26-M82</f>
        <v>#REF!</v>
      </c>
    </row>
    <row r="16" spans="1:37" x14ac:dyDescent="0.2">
      <c r="A16" s="69" t="s">
        <v>1602</v>
      </c>
      <c r="B16" s="10"/>
      <c r="C16" s="6"/>
      <c r="D16" s="100"/>
      <c r="E16" s="88"/>
      <c r="F16" s="88"/>
      <c r="G16" s="88"/>
      <c r="H16" s="88"/>
      <c r="I16" s="89"/>
      <c r="J16" s="816"/>
      <c r="K16" s="90"/>
      <c r="L16" s="88"/>
      <c r="M16" s="91"/>
    </row>
    <row r="17" spans="1:13" x14ac:dyDescent="0.2">
      <c r="A17" s="69" t="s">
        <v>604</v>
      </c>
      <c r="B17" s="13"/>
      <c r="C17" s="13"/>
      <c r="D17" s="80">
        <f>SUM(D18:D21)</f>
        <v>17664142.02</v>
      </c>
      <c r="E17" s="80">
        <f t="shared" ref="E17:M17" si="3">SUM(E18:E21)</f>
        <v>41436265.301799998</v>
      </c>
      <c r="F17" s="80">
        <f t="shared" si="3"/>
        <v>19732170.869999997</v>
      </c>
      <c r="G17" s="80">
        <f t="shared" si="3"/>
        <v>27549000</v>
      </c>
      <c r="H17" s="80">
        <f t="shared" si="3"/>
        <v>28111000</v>
      </c>
      <c r="I17" s="81">
        <f t="shared" si="3"/>
        <v>28111000</v>
      </c>
      <c r="J17" s="812">
        <f>SUM(J18:J21)</f>
        <v>28111000</v>
      </c>
      <c r="K17" s="82">
        <f t="shared" si="3"/>
        <v>32295000</v>
      </c>
      <c r="L17" s="80">
        <f t="shared" si="3"/>
        <v>34777800</v>
      </c>
      <c r="M17" s="83">
        <f t="shared" si="3"/>
        <v>37132408</v>
      </c>
    </row>
    <row r="18" spans="1:13" x14ac:dyDescent="0.2">
      <c r="A18" s="97" t="s">
        <v>1601</v>
      </c>
      <c r="B18" s="10"/>
      <c r="C18" s="6"/>
      <c r="D18" s="107">
        <f>'A7-CFlow'!C7</f>
        <v>11070907</v>
      </c>
      <c r="E18" s="107">
        <f>'A7-CFlow'!D7</f>
        <v>28370767</v>
      </c>
      <c r="F18" s="107">
        <f>'A7-CFlow'!E7</f>
        <v>16301897.869999999</v>
      </c>
      <c r="G18" s="107">
        <f>'A7-CFlow'!F7</f>
        <v>18061000</v>
      </c>
      <c r="H18" s="107">
        <f>'A7-CFlow'!G7</f>
        <v>18623000</v>
      </c>
      <c r="I18" s="108">
        <f>'A7-CFlow'!H7</f>
        <v>18623000</v>
      </c>
      <c r="J18" s="813">
        <f>'A7-CFlow'!I7</f>
        <v>18623000</v>
      </c>
      <c r="K18" s="109">
        <f>'A7-CFlow'!J7</f>
        <v>20785000</v>
      </c>
      <c r="L18" s="107">
        <f>'A7-CFlow'!K7</f>
        <v>22636800</v>
      </c>
      <c r="M18" s="119">
        <f>'A7-CFlow'!L7</f>
        <v>24289408</v>
      </c>
    </row>
    <row r="19" spans="1:13" x14ac:dyDescent="0.2">
      <c r="A19" s="97" t="s">
        <v>265</v>
      </c>
      <c r="B19" s="10"/>
      <c r="C19" s="6"/>
      <c r="D19" s="110">
        <f>'A7-CFlow'!C8</f>
        <v>6593235.0200000005</v>
      </c>
      <c r="E19" s="110">
        <f>'A7-CFlow'!D8</f>
        <v>13065498.3018</v>
      </c>
      <c r="F19" s="110">
        <f>'A7-CFlow'!E8</f>
        <v>3430273</v>
      </c>
      <c r="G19" s="110">
        <f>'A7-CFlow'!F8</f>
        <v>9488000</v>
      </c>
      <c r="H19" s="110">
        <f>'A7-CFlow'!G8</f>
        <v>9488000</v>
      </c>
      <c r="I19" s="111">
        <f>'A7-CFlow'!H8</f>
        <v>9488000</v>
      </c>
      <c r="J19" s="817">
        <f>'A7-CFlow'!I8</f>
        <v>9488000</v>
      </c>
      <c r="K19" s="112">
        <f>'A7-CFlow'!J8</f>
        <v>11510000</v>
      </c>
      <c r="L19" s="110">
        <f>'A7-CFlow'!K8</f>
        <v>12141000</v>
      </c>
      <c r="M19" s="116">
        <f>'A7-CFlow'!L8</f>
        <v>12843000</v>
      </c>
    </row>
    <row r="20" spans="1:13" x14ac:dyDescent="0.2">
      <c r="A20" s="97" t="s">
        <v>612</v>
      </c>
      <c r="B20" s="10"/>
      <c r="C20" s="6"/>
      <c r="D20" s="110"/>
      <c r="E20" s="110"/>
      <c r="F20" s="110"/>
      <c r="G20" s="110"/>
      <c r="H20" s="110"/>
      <c r="I20" s="111"/>
      <c r="J20" s="817"/>
      <c r="K20" s="112"/>
      <c r="L20" s="110"/>
      <c r="M20" s="116"/>
    </row>
    <row r="21" spans="1:13" x14ac:dyDescent="0.2">
      <c r="A21" s="97" t="s">
        <v>613</v>
      </c>
      <c r="B21" s="10"/>
      <c r="C21" s="6"/>
      <c r="D21" s="113"/>
      <c r="E21" s="113"/>
      <c r="F21" s="113"/>
      <c r="G21" s="113"/>
      <c r="H21" s="113"/>
      <c r="I21" s="114"/>
      <c r="J21" s="814"/>
      <c r="K21" s="115"/>
      <c r="L21" s="113"/>
      <c r="M21" s="120"/>
    </row>
    <row r="22" spans="1:13" x14ac:dyDescent="0.2">
      <c r="A22" s="69" t="s">
        <v>614</v>
      </c>
      <c r="B22" s="13"/>
      <c r="C22" s="13"/>
      <c r="D22" s="80">
        <f>'A4-FinPerf RE'!C16</f>
        <v>4441817.17</v>
      </c>
      <c r="E22" s="80">
        <f>'A4-FinPerf RE'!D16</f>
        <v>15149014.309999997</v>
      </c>
      <c r="F22" s="80">
        <f>'A4-FinPerf RE'!E16</f>
        <v>19133664.5297</v>
      </c>
      <c r="G22" s="80">
        <f>'A4-FinPerf RE'!F16</f>
        <v>16108000</v>
      </c>
      <c r="H22" s="80">
        <f>'A4-FinPerf RE'!G16</f>
        <v>16088000</v>
      </c>
      <c r="I22" s="81">
        <f>'A4-FinPerf RE'!H16</f>
        <v>16088000</v>
      </c>
      <c r="J22" s="812">
        <f>'A4-FinPerf RE'!I16</f>
        <v>16088000</v>
      </c>
      <c r="K22" s="82">
        <f>'A4-FinPerf RE'!J16</f>
        <v>19089500</v>
      </c>
      <c r="L22" s="80">
        <f>'A4-FinPerf RE'!K16</f>
        <v>20234870</v>
      </c>
      <c r="M22" s="83">
        <f>'A4-FinPerf RE'!L16</f>
        <v>21448962.199999999</v>
      </c>
    </row>
    <row r="23" spans="1:13" x14ac:dyDescent="0.2">
      <c r="A23" s="69" t="s">
        <v>607</v>
      </c>
      <c r="B23" s="13"/>
      <c r="C23" s="13"/>
      <c r="D23" s="80">
        <f>SUM(D24:D26)</f>
        <v>2754237.4490079461</v>
      </c>
      <c r="E23" s="80">
        <f t="shared" ref="E23:M23" si="4">SUM(E24:E26)</f>
        <v>-504040.71188705554</v>
      </c>
      <c r="F23" s="80">
        <f t="shared" si="4"/>
        <v>-576266.45300000021</v>
      </c>
      <c r="G23" s="80">
        <f t="shared" si="4"/>
        <v>4484454.45</v>
      </c>
      <c r="H23" s="80">
        <f t="shared" si="4"/>
        <v>-2667878.4500000002</v>
      </c>
      <c r="I23" s="81">
        <f t="shared" si="4"/>
        <v>761600</v>
      </c>
      <c r="J23" s="812">
        <f>SUM(J24:J26)</f>
        <v>761600</v>
      </c>
      <c r="K23" s="82">
        <f t="shared" si="4"/>
        <v>2801204.845714286</v>
      </c>
      <c r="L23" s="80">
        <f t="shared" si="4"/>
        <v>2969277.1364571429</v>
      </c>
      <c r="M23" s="83">
        <f t="shared" si="4"/>
        <v>3147433.7646445716</v>
      </c>
    </row>
    <row r="24" spans="1:13" x14ac:dyDescent="0.2">
      <c r="A24" s="97" t="s">
        <v>345</v>
      </c>
      <c r="B24" s="10"/>
      <c r="C24" s="6"/>
      <c r="D24" s="107">
        <f>'A7-CFlow'!C9</f>
        <v>2384995.9699999997</v>
      </c>
      <c r="E24" s="107">
        <f>'A7-CFlow'!D9</f>
        <v>2154637.48</v>
      </c>
      <c r="F24" s="107">
        <f>'A7-CFlow'!E9</f>
        <v>1954288.6570000001</v>
      </c>
      <c r="G24" s="107">
        <f>'A7-CFlow'!F9</f>
        <v>250000</v>
      </c>
      <c r="H24" s="107">
        <f>'A7-CFlow'!G9</f>
        <v>320000</v>
      </c>
      <c r="I24" s="108">
        <f>'A7-CFlow'!H9</f>
        <v>320000</v>
      </c>
      <c r="J24" s="813">
        <f>'A7-CFlow'!I9</f>
        <v>320000</v>
      </c>
      <c r="K24" s="109">
        <f>'A7-CFlow'!J9</f>
        <v>2180000</v>
      </c>
      <c r="L24" s="107">
        <f>'A7-CFlow'!K9</f>
        <v>2310800</v>
      </c>
      <c r="M24" s="119">
        <f>'A7-CFlow'!L9</f>
        <v>2449448</v>
      </c>
    </row>
    <row r="25" spans="1:13" x14ac:dyDescent="0.2">
      <c r="A25" s="97" t="s">
        <v>608</v>
      </c>
      <c r="B25" s="10"/>
      <c r="C25" s="6"/>
      <c r="D25" s="110">
        <f>'A7-CFlow'!C10</f>
        <v>0</v>
      </c>
      <c r="E25" s="110">
        <f>'A7-CFlow'!D10</f>
        <v>0</v>
      </c>
      <c r="F25" s="110">
        <f>'A7-CFlow'!E10</f>
        <v>0</v>
      </c>
      <c r="G25" s="110">
        <f>'A7-CFlow'!F10</f>
        <v>0</v>
      </c>
      <c r="H25" s="110">
        <f>'A7-CFlow'!G10</f>
        <v>0</v>
      </c>
      <c r="I25" s="111">
        <f>'A7-CFlow'!H10</f>
        <v>0</v>
      </c>
      <c r="J25" s="817">
        <f>'A7-CFlow'!I10</f>
        <v>0</v>
      </c>
      <c r="K25" s="112">
        <f>'A7-CFlow'!J10</f>
        <v>0</v>
      </c>
      <c r="L25" s="110">
        <f>'A7-CFlow'!K10</f>
        <v>0</v>
      </c>
      <c r="M25" s="116">
        <f>'A7-CFlow'!L10</f>
        <v>0</v>
      </c>
    </row>
    <row r="26" spans="1:13" x14ac:dyDescent="0.2">
      <c r="A26" s="97" t="s">
        <v>609</v>
      </c>
      <c r="B26" s="10"/>
      <c r="C26" s="6"/>
      <c r="D26" s="113">
        <f>'A4-FinPerf RE'!C12+NERF!D74</f>
        <v>369241.47900794656</v>
      </c>
      <c r="E26" s="113">
        <f>'A4-FinPerf RE'!D12+NERF!E74</f>
        <v>-2658678.1918870555</v>
      </c>
      <c r="F26" s="113">
        <f>'A4-FinPerf RE'!E12+NERF!F74</f>
        <v>-2530555.1100000003</v>
      </c>
      <c r="G26" s="113">
        <f>'A4-FinPerf RE'!F12+NERF!G74</f>
        <v>4234454.45</v>
      </c>
      <c r="H26" s="113">
        <f>'A4-FinPerf RE'!G12+NERF!H74</f>
        <v>-2987878.45</v>
      </c>
      <c r="I26" s="114">
        <f>'A4-FinPerf RE'!H12+NERF!I74</f>
        <v>441600</v>
      </c>
      <c r="J26" s="814">
        <f>'A4-FinPerf RE'!I12+NERF!J74</f>
        <v>441600</v>
      </c>
      <c r="K26" s="115">
        <f>'A4-FinPerf RE'!J12+NERF!K74</f>
        <v>621204.84571428574</v>
      </c>
      <c r="L26" s="113">
        <f>'A4-FinPerf RE'!K12+NERF!L74</f>
        <v>658477.13645714289</v>
      </c>
      <c r="M26" s="120">
        <f>'A4-FinPerf RE'!L12+NERF!M74</f>
        <v>697985.76464457146</v>
      </c>
    </row>
    <row r="27" spans="1:13" x14ac:dyDescent="0.2">
      <c r="A27" s="69" t="s">
        <v>280</v>
      </c>
      <c r="B27" s="13"/>
      <c r="C27" s="13"/>
      <c r="D27" s="80">
        <f>SUM(D28:D29)</f>
        <v>9466</v>
      </c>
      <c r="E27" s="80">
        <f t="shared" ref="E27:M27" si="5">SUM(E28:E29)</f>
        <v>2559</v>
      </c>
      <c r="F27" s="80">
        <f t="shared" si="5"/>
        <v>24900</v>
      </c>
      <c r="G27" s="80">
        <f t="shared" si="5"/>
        <v>0</v>
      </c>
      <c r="H27" s="80">
        <f t="shared" si="5"/>
        <v>72000</v>
      </c>
      <c r="I27" s="81">
        <f t="shared" si="5"/>
        <v>72000</v>
      </c>
      <c r="J27" s="812">
        <f>SUM(J28:J29)</f>
        <v>72000</v>
      </c>
      <c r="K27" s="82">
        <f t="shared" si="5"/>
        <v>225000</v>
      </c>
      <c r="L27" s="80">
        <f t="shared" si="5"/>
        <v>238500</v>
      </c>
      <c r="M27" s="83">
        <f t="shared" si="5"/>
        <v>252810</v>
      </c>
    </row>
    <row r="28" spans="1:13" x14ac:dyDescent="0.2">
      <c r="A28" s="97" t="s">
        <v>615</v>
      </c>
      <c r="B28" s="10"/>
      <c r="C28" s="6"/>
      <c r="D28" s="107">
        <v>0</v>
      </c>
      <c r="E28" s="107">
        <v>0</v>
      </c>
      <c r="F28" s="107">
        <v>0</v>
      </c>
      <c r="G28" s="107">
        <v>0</v>
      </c>
      <c r="H28" s="107">
        <v>0</v>
      </c>
      <c r="I28" s="108">
        <v>0</v>
      </c>
      <c r="J28" s="813">
        <v>0</v>
      </c>
      <c r="K28" s="109">
        <v>0</v>
      </c>
      <c r="L28" s="107">
        <v>0</v>
      </c>
      <c r="M28" s="119">
        <v>0</v>
      </c>
    </row>
    <row r="29" spans="1:13" x14ac:dyDescent="0.2">
      <c r="A29" s="97" t="s">
        <v>618</v>
      </c>
      <c r="B29" s="10"/>
      <c r="C29" s="6"/>
      <c r="D29" s="113">
        <f>'A7-CFlow'!C19</f>
        <v>9466</v>
      </c>
      <c r="E29" s="113">
        <f>'A7-CFlow'!D19</f>
        <v>2559</v>
      </c>
      <c r="F29" s="113">
        <f>'A7-CFlow'!E19</f>
        <v>24900</v>
      </c>
      <c r="G29" s="113">
        <f>'A7-CFlow'!F19</f>
        <v>0</v>
      </c>
      <c r="H29" s="113">
        <f>'A7-CFlow'!G19</f>
        <v>72000</v>
      </c>
      <c r="I29" s="114">
        <f>'A7-CFlow'!H19</f>
        <v>72000</v>
      </c>
      <c r="J29" s="814">
        <f>'A7-CFlow'!I19</f>
        <v>72000</v>
      </c>
      <c r="K29" s="115">
        <f>'A7-CFlow'!J19</f>
        <v>225000</v>
      </c>
      <c r="L29" s="113">
        <f>'A7-CFlow'!K19</f>
        <v>238500</v>
      </c>
      <c r="M29" s="120">
        <f>'A7-CFlow'!L19</f>
        <v>252810</v>
      </c>
    </row>
    <row r="30" spans="1:13" x14ac:dyDescent="0.2">
      <c r="A30" s="69" t="s">
        <v>619</v>
      </c>
      <c r="B30" s="13"/>
      <c r="C30" s="13"/>
      <c r="D30" s="80"/>
      <c r="E30" s="80"/>
      <c r="F30" s="80"/>
      <c r="G30" s="80"/>
      <c r="H30" s="80"/>
      <c r="I30" s="81"/>
      <c r="J30" s="812"/>
      <c r="K30" s="82"/>
      <c r="L30" s="80"/>
      <c r="M30" s="83"/>
    </row>
    <row r="31" spans="1:13" x14ac:dyDescent="0.2">
      <c r="A31" s="8" t="s">
        <v>622</v>
      </c>
      <c r="B31" s="68"/>
      <c r="C31" s="68"/>
      <c r="D31" s="92" t="e">
        <f t="shared" ref="D31:M31" si="6">SUM(D8,D11,D16,D17,D22,D23,D27,D30)</f>
        <v>#REF!</v>
      </c>
      <c r="E31" s="92" t="e">
        <f t="shared" si="6"/>
        <v>#REF!</v>
      </c>
      <c r="F31" s="92" t="e">
        <f t="shared" si="6"/>
        <v>#REF!</v>
      </c>
      <c r="G31" s="92" t="e">
        <f t="shared" si="6"/>
        <v>#REF!</v>
      </c>
      <c r="H31" s="92" t="e">
        <f t="shared" si="6"/>
        <v>#REF!</v>
      </c>
      <c r="I31" s="93" t="e">
        <f t="shared" si="6"/>
        <v>#REF!</v>
      </c>
      <c r="J31" s="818" t="e">
        <f t="shared" si="6"/>
        <v>#REF!</v>
      </c>
      <c r="K31" s="94" t="e">
        <f t="shared" si="6"/>
        <v>#REF!</v>
      </c>
      <c r="L31" s="92" t="e">
        <f t="shared" si="6"/>
        <v>#REF!</v>
      </c>
      <c r="M31" s="95" t="e">
        <f t="shared" si="6"/>
        <v>#REF!</v>
      </c>
    </row>
    <row r="32" spans="1:13" x14ac:dyDescent="0.2">
      <c r="A32" s="15" t="s">
        <v>833</v>
      </c>
      <c r="B32" s="13"/>
      <c r="C32" s="13"/>
      <c r="D32" s="80"/>
      <c r="E32" s="80"/>
      <c r="F32" s="80"/>
      <c r="G32" s="80"/>
      <c r="H32" s="80"/>
      <c r="I32" s="81"/>
      <c r="J32" s="812"/>
      <c r="K32" s="82"/>
      <c r="L32" s="80"/>
      <c r="M32" s="83"/>
    </row>
    <row r="33" spans="1:13" x14ac:dyDescent="0.2">
      <c r="A33" s="69" t="s">
        <v>1603</v>
      </c>
      <c r="B33" s="13"/>
      <c r="C33" s="13"/>
      <c r="D33" s="80"/>
      <c r="E33" s="80"/>
      <c r="F33" s="80"/>
      <c r="G33" s="80"/>
      <c r="H33" s="80"/>
      <c r="I33" s="81"/>
      <c r="J33" s="812"/>
      <c r="K33" s="82"/>
      <c r="L33" s="80"/>
      <c r="M33" s="83"/>
    </row>
    <row r="34" spans="1:13" x14ac:dyDescent="0.2">
      <c r="A34" s="99" t="s">
        <v>605</v>
      </c>
      <c r="B34" s="13"/>
      <c r="C34" s="13"/>
      <c r="D34" s="101">
        <f>SUM(D35:D36)</f>
        <v>11816013.710000001</v>
      </c>
      <c r="E34" s="101">
        <f t="shared" ref="E34:M34" si="7">SUM(E35:E36)</f>
        <v>13211037.769999998</v>
      </c>
      <c r="F34" s="101">
        <f t="shared" si="7"/>
        <v>17230064.529999997</v>
      </c>
      <c r="G34" s="101">
        <f t="shared" si="7"/>
        <v>23278806</v>
      </c>
      <c r="H34" s="101">
        <f t="shared" si="7"/>
        <v>24455582</v>
      </c>
      <c r="I34" s="102">
        <f t="shared" si="7"/>
        <v>24455582</v>
      </c>
      <c r="J34" s="819">
        <f>SUM(J35:J36)</f>
        <v>24455582</v>
      </c>
      <c r="K34" s="103">
        <f t="shared" si="7"/>
        <v>28605520.959159128</v>
      </c>
      <c r="L34" s="101">
        <f t="shared" si="7"/>
        <v>30321852.216708675</v>
      </c>
      <c r="M34" s="117">
        <f t="shared" si="7"/>
        <v>32141163.349711191</v>
      </c>
    </row>
    <row r="35" spans="1:13" x14ac:dyDescent="0.2">
      <c r="A35" s="71" t="s">
        <v>269</v>
      </c>
      <c r="B35" s="13"/>
      <c r="C35" s="13"/>
      <c r="D35" s="84">
        <f>'SA1'!C63-'SA1'!C50</f>
        <v>10582047.430000002</v>
      </c>
      <c r="E35" s="84">
        <f>'SA1'!D63-'SA1'!D50</f>
        <v>11673863.179999998</v>
      </c>
      <c r="F35" s="84">
        <f>'SA1'!E63-'SA1'!E50</f>
        <v>15468059.999999996</v>
      </c>
      <c r="G35" s="84">
        <f>'SA1'!F63-'SA1'!F50</f>
        <v>20454515</v>
      </c>
      <c r="H35" s="84">
        <f>'SA1'!G63-'SA1'!G50</f>
        <v>21825837</v>
      </c>
      <c r="I35" s="85">
        <f>'SA1'!H63-'SA1'!H50</f>
        <v>21825837</v>
      </c>
      <c r="J35" s="815">
        <f>'SA1'!I63-'SA1'!I50</f>
        <v>21825837</v>
      </c>
      <c r="K35" s="86">
        <f>'SA1'!J63-'SA1'!J50</f>
        <v>23985582.881628007</v>
      </c>
      <c r="L35" s="84">
        <f>'SA1'!K63-'SA1'!K50</f>
        <v>25424717.854525685</v>
      </c>
      <c r="M35" s="87">
        <f>'SA1'!L63-'SA1'!L50</f>
        <v>26950200.925797224</v>
      </c>
    </row>
    <row r="36" spans="1:13" x14ac:dyDescent="0.2">
      <c r="A36" s="71" t="s">
        <v>270</v>
      </c>
      <c r="B36" s="13"/>
      <c r="C36" s="13"/>
      <c r="D36" s="88">
        <f>'SA1'!C50</f>
        <v>1233966.2799999996</v>
      </c>
      <c r="E36" s="88">
        <f>'SA1'!D50</f>
        <v>1537174.59</v>
      </c>
      <c r="F36" s="88">
        <f>'SA1'!E50</f>
        <v>1762004.5300000003</v>
      </c>
      <c r="G36" s="88">
        <f>'SA1'!F50</f>
        <v>2824291</v>
      </c>
      <c r="H36" s="88">
        <f>'SA1'!G50</f>
        <v>2629745</v>
      </c>
      <c r="I36" s="89">
        <f>'SA1'!H50</f>
        <v>2629745</v>
      </c>
      <c r="J36" s="816">
        <f>'SA1'!I50</f>
        <v>2629745</v>
      </c>
      <c r="K36" s="90">
        <f>'SA1'!J50</f>
        <v>4619938.0775311198</v>
      </c>
      <c r="L36" s="88">
        <f>'SA1'!K50</f>
        <v>4897134.3621829888</v>
      </c>
      <c r="M36" s="91">
        <f>'SA1'!L50</f>
        <v>5190962.4239139659</v>
      </c>
    </row>
    <row r="37" spans="1:13" x14ac:dyDescent="0.2">
      <c r="A37" s="99" t="s">
        <v>606</v>
      </c>
      <c r="B37" s="13"/>
      <c r="C37" s="13"/>
      <c r="D37" s="80" t="e">
        <f>SUM(D38:D42)</f>
        <v>#REF!</v>
      </c>
      <c r="E37" s="80" t="e">
        <f t="shared" ref="E37:M37" si="8">SUM(E38:E42)</f>
        <v>#REF!</v>
      </c>
      <c r="F37" s="80" t="e">
        <f t="shared" si="8"/>
        <v>#REF!</v>
      </c>
      <c r="G37" s="80" t="e">
        <f t="shared" si="8"/>
        <v>#REF!</v>
      </c>
      <c r="H37" s="80" t="e">
        <f t="shared" si="8"/>
        <v>#REF!</v>
      </c>
      <c r="I37" s="81" t="e">
        <f t="shared" si="8"/>
        <v>#REF!</v>
      </c>
      <c r="J37" s="812" t="e">
        <f>SUM(J38:J42)</f>
        <v>#REF!</v>
      </c>
      <c r="K37" s="82" t="e">
        <f t="shared" si="8"/>
        <v>#REF!</v>
      </c>
      <c r="L37" s="80" t="e">
        <f t="shared" si="8"/>
        <v>#REF!</v>
      </c>
      <c r="M37" s="83" t="e">
        <f t="shared" si="8"/>
        <v>#REF!</v>
      </c>
    </row>
    <row r="38" spans="1:13" x14ac:dyDescent="0.2">
      <c r="A38" s="98" t="str">
        <f>'A4-FinPerf RE'!A30</f>
        <v>Bulk purchases</v>
      </c>
      <c r="B38" s="13"/>
      <c r="C38" s="13"/>
      <c r="D38" s="84">
        <f>'A4-FinPerf RE'!C30</f>
        <v>4344688.4399999995</v>
      </c>
      <c r="E38" s="84">
        <f>'A4-FinPerf RE'!D30</f>
        <v>5984190.2699999996</v>
      </c>
      <c r="F38" s="84">
        <f>'A4-FinPerf RE'!E30</f>
        <v>7539314.1800000006</v>
      </c>
      <c r="G38" s="84">
        <f>'A4-FinPerf RE'!F30</f>
        <v>8450000</v>
      </c>
      <c r="H38" s="84">
        <f>'A4-FinPerf RE'!G30</f>
        <v>10138400</v>
      </c>
      <c r="I38" s="85">
        <f>'A4-FinPerf RE'!H30</f>
        <v>10138400</v>
      </c>
      <c r="J38" s="815">
        <f>'A4-FinPerf RE'!I30</f>
        <v>10138400</v>
      </c>
      <c r="K38" s="86">
        <f>'A4-FinPerf RE'!J30</f>
        <v>9317470</v>
      </c>
      <c r="L38" s="84">
        <f>'A4-FinPerf RE'!K30</f>
        <v>9876518.2000000011</v>
      </c>
      <c r="M38" s="87">
        <f>'A4-FinPerf RE'!L30</f>
        <v>10469109.292000001</v>
      </c>
    </row>
    <row r="39" spans="1:13" x14ac:dyDescent="0.2">
      <c r="A39" s="98" t="s">
        <v>1533</v>
      </c>
      <c r="B39" s="13"/>
      <c r="C39" s="13"/>
      <c r="D39" s="76">
        <v>0</v>
      </c>
      <c r="E39" s="76">
        <v>0</v>
      </c>
      <c r="F39" s="76">
        <v>0</v>
      </c>
      <c r="G39" s="76">
        <v>0</v>
      </c>
      <c r="H39" s="76">
        <v>0</v>
      </c>
      <c r="I39" s="77">
        <v>0</v>
      </c>
      <c r="J39" s="811">
        <v>0</v>
      </c>
      <c r="K39" s="78">
        <v>0</v>
      </c>
      <c r="L39" s="76">
        <v>0</v>
      </c>
      <c r="M39" s="79">
        <v>0</v>
      </c>
    </row>
    <row r="40" spans="1:13" x14ac:dyDescent="0.2">
      <c r="A40" s="98" t="str">
        <f>'A4-FinPerf RE'!A32</f>
        <v>Contracted services</v>
      </c>
      <c r="B40" s="13"/>
      <c r="C40" s="13"/>
      <c r="D40" s="76">
        <f>'A4-FinPerf RE'!C32</f>
        <v>1300074</v>
      </c>
      <c r="E40" s="76">
        <f>'A4-FinPerf RE'!D32</f>
        <v>9872504.5196999982</v>
      </c>
      <c r="F40" s="76">
        <f>'A4-FinPerf RE'!E32</f>
        <v>11539748.369999999</v>
      </c>
      <c r="G40" s="76">
        <f>'A4-FinPerf RE'!F32</f>
        <v>0</v>
      </c>
      <c r="H40" s="76">
        <f>'A4-FinPerf RE'!G32</f>
        <v>8485000</v>
      </c>
      <c r="I40" s="77">
        <f>'A4-FinPerf RE'!H32</f>
        <v>8485000</v>
      </c>
      <c r="J40" s="811">
        <f>'A4-FinPerf RE'!I32</f>
        <v>8485000</v>
      </c>
      <c r="K40" s="78">
        <f>'A4-FinPerf RE'!J32</f>
        <v>10710000</v>
      </c>
      <c r="L40" s="76">
        <f>'A4-FinPerf RE'!K32</f>
        <v>11352600</v>
      </c>
      <c r="M40" s="79">
        <f>'A4-FinPerf RE'!L32</f>
        <v>12033756</v>
      </c>
    </row>
    <row r="41" spans="1:13" x14ac:dyDescent="0.2">
      <c r="A41" s="98" t="s">
        <v>405</v>
      </c>
      <c r="B41" s="13"/>
      <c r="C41" s="13"/>
      <c r="D41" s="76" t="e">
        <f>'SA1'!#REF!</f>
        <v>#REF!</v>
      </c>
      <c r="E41" s="76" t="e">
        <f>'SA1'!#REF!</f>
        <v>#REF!</v>
      </c>
      <c r="F41" s="76" t="e">
        <f>'SA1'!#REF!</f>
        <v>#REF!</v>
      </c>
      <c r="G41" s="76" t="e">
        <f>'SA1'!#REF!</f>
        <v>#REF!</v>
      </c>
      <c r="H41" s="76" t="e">
        <f>'SA1'!#REF!</f>
        <v>#REF!</v>
      </c>
      <c r="I41" s="77" t="e">
        <f>'SA1'!#REF!</f>
        <v>#REF!</v>
      </c>
      <c r="J41" s="811" t="e">
        <f>'SA1'!#REF!</f>
        <v>#REF!</v>
      </c>
      <c r="K41" s="78" t="e">
        <f>'SA1'!#REF!</f>
        <v>#REF!</v>
      </c>
      <c r="L41" s="76" t="e">
        <f>'SA1'!#REF!</f>
        <v>#REF!</v>
      </c>
      <c r="M41" s="79" t="e">
        <f>'SA1'!#REF!</f>
        <v>#REF!</v>
      </c>
    </row>
    <row r="42" spans="1:13" x14ac:dyDescent="0.2">
      <c r="A42" s="98" t="str">
        <f>'A4-FinPerf RE'!A34</f>
        <v>Other expenditure</v>
      </c>
      <c r="B42" s="13"/>
      <c r="C42" s="13"/>
      <c r="D42" s="88" t="e">
        <f>-'A7-CFlow'!C12-NERF!D34-NERF!D38-NERF!D39-NERF!D40-D41-NERF!D52</f>
        <v>#REF!</v>
      </c>
      <c r="E42" s="88" t="e">
        <f>-'A7-CFlow'!D12-NERF!E34-NERF!E38-NERF!E39-NERF!E40-E41-NERF!E52</f>
        <v>#REF!</v>
      </c>
      <c r="F42" s="88" t="e">
        <f>-'A7-CFlow'!E12-NERF!F34-NERF!F38-NERF!F39-NERF!F40-F41-NERF!F52</f>
        <v>#REF!</v>
      </c>
      <c r="G42" s="88" t="e">
        <f>-'A7-CFlow'!F12-NERF!G34-NERF!G38-NERF!G39-NERF!G40-G41-NERF!G52-G82</f>
        <v>#REF!</v>
      </c>
      <c r="H42" s="88" t="e">
        <f>-'A7-CFlow'!G12-NERF!H34-NERF!H38-NERF!H39-NERF!H40-H41-NERF!H52-H82</f>
        <v>#REF!</v>
      </c>
      <c r="I42" s="89" t="e">
        <f>-'A7-CFlow'!H12-NERF!I34-NERF!I38-NERF!I39-NERF!I40-I41-NERF!I52-I82</f>
        <v>#REF!</v>
      </c>
      <c r="J42" s="816" t="e">
        <f>-'A7-CFlow'!I12-NERF!J34-NERF!J38-NERF!J39-NERF!J40-J41-NERF!J52-J82</f>
        <v>#REF!</v>
      </c>
      <c r="K42" s="90" t="e">
        <f>-'A7-CFlow'!J12-NERF!K34-NERF!K38-NERF!K39-NERF!K40-K41-NERF!K52-K82</f>
        <v>#REF!</v>
      </c>
      <c r="L42" s="88" t="e">
        <f>-'A7-CFlow'!K12-NERF!L34-NERF!L38-NERF!L39-NERF!L40-L41-NERF!L52-L82</f>
        <v>#REF!</v>
      </c>
      <c r="M42" s="91" t="e">
        <f>-'A7-CFlow'!L12-NERF!M34-NERF!M38-NERF!M39-NERF!M40-M41-NERF!M52-M82</f>
        <v>#REF!</v>
      </c>
    </row>
    <row r="43" spans="1:13" x14ac:dyDescent="0.2">
      <c r="A43" s="99" t="s">
        <v>607</v>
      </c>
      <c r="B43" s="13"/>
      <c r="C43" s="13"/>
      <c r="D43" s="104">
        <f>SUM(D44:D46)</f>
        <v>601015.97</v>
      </c>
      <c r="E43" s="104">
        <f t="shared" ref="E43:M43" si="9">SUM(E44:E46)</f>
        <v>942690.57152789168</v>
      </c>
      <c r="F43" s="104">
        <f t="shared" si="9"/>
        <v>907385.78726348281</v>
      </c>
      <c r="G43" s="104">
        <f t="shared" si="9"/>
        <v>453000</v>
      </c>
      <c r="H43" s="104">
        <f t="shared" si="9"/>
        <v>486000</v>
      </c>
      <c r="I43" s="105">
        <f t="shared" si="9"/>
        <v>486000</v>
      </c>
      <c r="J43" s="820">
        <f>SUM(J44:J46)</f>
        <v>486000</v>
      </c>
      <c r="K43" s="106">
        <f t="shared" si="9"/>
        <v>650360</v>
      </c>
      <c r="L43" s="104">
        <f t="shared" si="9"/>
        <v>689381.60000000009</v>
      </c>
      <c r="M43" s="118">
        <f t="shared" si="9"/>
        <v>730744.49600000004</v>
      </c>
    </row>
    <row r="44" spans="1:13" x14ac:dyDescent="0.2">
      <c r="A44" s="71" t="s">
        <v>345</v>
      </c>
      <c r="B44" s="13"/>
      <c r="C44" s="13"/>
      <c r="D44" s="84">
        <f>-'A7-CFlow'!C13</f>
        <v>601015.97</v>
      </c>
      <c r="E44" s="84">
        <f>-'A7-CFlow'!D13</f>
        <v>942690.57152789168</v>
      </c>
      <c r="F44" s="84">
        <f>-'A7-CFlow'!E13</f>
        <v>907385.78726348281</v>
      </c>
      <c r="G44" s="84">
        <f>-'A7-CFlow'!F13</f>
        <v>453000</v>
      </c>
      <c r="H44" s="84">
        <f>-'A7-CFlow'!G13</f>
        <v>486000</v>
      </c>
      <c r="I44" s="85">
        <f>-'A7-CFlow'!H13</f>
        <v>486000</v>
      </c>
      <c r="J44" s="815">
        <f>-'A7-CFlow'!I13</f>
        <v>486000</v>
      </c>
      <c r="K44" s="86">
        <f>-'A7-CFlow'!J13</f>
        <v>650360</v>
      </c>
      <c r="L44" s="84">
        <f>-'A7-CFlow'!K13</f>
        <v>689381.60000000009</v>
      </c>
      <c r="M44" s="87">
        <f>-'A7-CFlow'!L13</f>
        <v>730744.49600000004</v>
      </c>
    </row>
    <row r="45" spans="1:13" x14ac:dyDescent="0.2">
      <c r="A45" s="71" t="s">
        <v>608</v>
      </c>
      <c r="B45" s="13"/>
      <c r="C45" s="13"/>
      <c r="D45" s="76">
        <v>0</v>
      </c>
      <c r="E45" s="76">
        <v>0</v>
      </c>
      <c r="F45" s="76">
        <v>0</v>
      </c>
      <c r="G45" s="76">
        <v>0</v>
      </c>
      <c r="H45" s="76">
        <v>0</v>
      </c>
      <c r="I45" s="77">
        <v>0</v>
      </c>
      <c r="J45" s="811">
        <v>0</v>
      </c>
      <c r="K45" s="78">
        <v>0</v>
      </c>
      <c r="L45" s="76">
        <v>0</v>
      </c>
      <c r="M45" s="79">
        <v>0</v>
      </c>
    </row>
    <row r="46" spans="1:13" x14ac:dyDescent="0.2">
      <c r="A46" s="71" t="s">
        <v>609</v>
      </c>
      <c r="B46" s="13"/>
      <c r="C46" s="13"/>
      <c r="D46" s="88">
        <v>0</v>
      </c>
      <c r="E46" s="88">
        <v>0</v>
      </c>
      <c r="F46" s="88">
        <v>0</v>
      </c>
      <c r="G46" s="88">
        <v>0</v>
      </c>
      <c r="H46" s="88">
        <v>0</v>
      </c>
      <c r="I46" s="89">
        <v>0</v>
      </c>
      <c r="J46" s="816">
        <v>0</v>
      </c>
      <c r="K46" s="90">
        <v>0</v>
      </c>
      <c r="L46" s="88">
        <v>0</v>
      </c>
      <c r="M46" s="91">
        <v>0</v>
      </c>
    </row>
    <row r="47" spans="1:13" x14ac:dyDescent="0.2">
      <c r="A47" s="99" t="str">
        <f>A30</f>
        <v>Financial transactions in assets and liabilities</v>
      </c>
      <c r="B47" s="13"/>
      <c r="C47" s="13"/>
      <c r="D47" s="76">
        <v>0</v>
      </c>
      <c r="E47" s="76">
        <v>0</v>
      </c>
      <c r="F47" s="76">
        <v>0</v>
      </c>
      <c r="G47" s="76">
        <v>0</v>
      </c>
      <c r="H47" s="76">
        <v>0</v>
      </c>
      <c r="I47" s="77">
        <v>0</v>
      </c>
      <c r="J47" s="811">
        <v>0</v>
      </c>
      <c r="K47" s="78">
        <v>0</v>
      </c>
      <c r="L47" s="76">
        <v>0</v>
      </c>
      <c r="M47" s="79">
        <v>0</v>
      </c>
    </row>
    <row r="48" spans="1:13" x14ac:dyDescent="0.2">
      <c r="A48" s="99" t="s">
        <v>271</v>
      </c>
      <c r="B48" s="13"/>
      <c r="C48" s="13"/>
      <c r="D48" s="76">
        <v>0</v>
      </c>
      <c r="E48" s="76">
        <v>0</v>
      </c>
      <c r="F48" s="76">
        <v>0</v>
      </c>
      <c r="G48" s="76">
        <v>0</v>
      </c>
      <c r="H48" s="76">
        <v>0</v>
      </c>
      <c r="I48" s="77">
        <v>0</v>
      </c>
      <c r="J48" s="811">
        <v>0</v>
      </c>
      <c r="K48" s="78">
        <v>0</v>
      </c>
      <c r="L48" s="76">
        <v>0</v>
      </c>
      <c r="M48" s="79">
        <v>0</v>
      </c>
    </row>
    <row r="49" spans="1:13" x14ac:dyDescent="0.2">
      <c r="A49" s="69" t="s">
        <v>610</v>
      </c>
      <c r="B49" s="13"/>
      <c r="C49" s="13"/>
      <c r="D49" s="80">
        <f>SUM(D50:D52)</f>
        <v>7455219.7200000007</v>
      </c>
      <c r="E49" s="80">
        <f t="shared" ref="E49:M49" si="10">SUM(E50:E52)</f>
        <v>8643300.6017500013</v>
      </c>
      <c r="F49" s="80">
        <f t="shared" si="10"/>
        <v>8885117.4299999997</v>
      </c>
      <c r="G49" s="80">
        <f t="shared" si="10"/>
        <v>3483078.63</v>
      </c>
      <c r="H49" s="80">
        <f t="shared" si="10"/>
        <v>8495890.9028571434</v>
      </c>
      <c r="I49" s="81">
        <f t="shared" si="10"/>
        <v>8445891.5028571412</v>
      </c>
      <c r="J49" s="812">
        <f>SUM(J50:J52)</f>
        <v>8207831.3328571422</v>
      </c>
      <c r="K49" s="82">
        <f t="shared" si="10"/>
        <v>9635548.2432000004</v>
      </c>
      <c r="L49" s="80">
        <f t="shared" si="10"/>
        <v>10158427.344192</v>
      </c>
      <c r="M49" s="83">
        <f t="shared" si="10"/>
        <v>10362681.13764352</v>
      </c>
    </row>
    <row r="50" spans="1:13" x14ac:dyDescent="0.2">
      <c r="A50" s="97" t="s">
        <v>272</v>
      </c>
      <c r="B50" s="13"/>
      <c r="C50" s="13"/>
      <c r="D50" s="84">
        <f>-'A7-CFlow'!C14</f>
        <v>3404607.72</v>
      </c>
      <c r="E50" s="84">
        <f>-'A7-CFlow'!D14</f>
        <v>2658653.4800000004</v>
      </c>
      <c r="F50" s="84">
        <f>-'A7-CFlow'!E14</f>
        <v>3547815.1500000004</v>
      </c>
      <c r="G50" s="84">
        <f>-'A7-CFlow'!F14</f>
        <v>3483078.63</v>
      </c>
      <c r="H50" s="84">
        <f>-'A7-CFlow'!G14</f>
        <v>3558108.7728571426</v>
      </c>
      <c r="I50" s="85">
        <f>-'A7-CFlow'!H14</f>
        <v>3558108.7728571426</v>
      </c>
      <c r="J50" s="815">
        <f>-'A7-CFlow'!I14</f>
        <v>3558108.7728571426</v>
      </c>
      <c r="K50" s="86">
        <f>-'A7-CFlow'!J14</f>
        <v>4985825.6831999999</v>
      </c>
      <c r="L50" s="84">
        <f>-'A7-CFlow'!K14</f>
        <v>5284975.224192</v>
      </c>
      <c r="M50" s="87">
        <f>-'A7-CFlow'!L14</f>
        <v>5602073.7376435203</v>
      </c>
    </row>
    <row r="51" spans="1:13" x14ac:dyDescent="0.2">
      <c r="A51" s="70" t="str">
        <f>A21</f>
        <v>Public corporations and private enterprises</v>
      </c>
      <c r="B51" s="13"/>
      <c r="C51" s="13"/>
      <c r="D51" s="76">
        <v>0</v>
      </c>
      <c r="E51" s="76">
        <v>0</v>
      </c>
      <c r="F51" s="76">
        <v>0</v>
      </c>
      <c r="G51" s="76">
        <v>0</v>
      </c>
      <c r="H51" s="76">
        <v>0</v>
      </c>
      <c r="I51" s="77">
        <v>0</v>
      </c>
      <c r="J51" s="811">
        <v>0</v>
      </c>
      <c r="K51" s="78">
        <v>0</v>
      </c>
      <c r="L51" s="76">
        <v>0</v>
      </c>
      <c r="M51" s="79">
        <v>0</v>
      </c>
    </row>
    <row r="52" spans="1:13" x14ac:dyDescent="0.2">
      <c r="A52" s="70" t="s">
        <v>273</v>
      </c>
      <c r="B52" s="13"/>
      <c r="C52" s="13"/>
      <c r="D52" s="88">
        <f>'A10-SerDel'!C78</f>
        <v>4050612</v>
      </c>
      <c r="E52" s="88">
        <f>'A10-SerDel'!D78</f>
        <v>5984647.1217499999</v>
      </c>
      <c r="F52" s="88">
        <f>'A10-SerDel'!E78</f>
        <v>5337302.2799999993</v>
      </c>
      <c r="G52" s="88">
        <f>'A10-SerDel'!F78</f>
        <v>0</v>
      </c>
      <c r="H52" s="88">
        <f>'A10-SerDel'!G78</f>
        <v>4937782.13</v>
      </c>
      <c r="I52" s="89">
        <f>'A10-SerDel'!H78</f>
        <v>4887782.7299999995</v>
      </c>
      <c r="J52" s="816">
        <f>'A10-SerDel'!I78</f>
        <v>4649722.5599999996</v>
      </c>
      <c r="K52" s="90">
        <f>'A10-SerDel'!I78</f>
        <v>4649722.5599999996</v>
      </c>
      <c r="L52" s="88">
        <f>'A10-SerDel'!J78</f>
        <v>4873452.12</v>
      </c>
      <c r="M52" s="91">
        <f>'A10-SerDel'!K78</f>
        <v>4760607.4000000004</v>
      </c>
    </row>
    <row r="53" spans="1:13" x14ac:dyDescent="0.2">
      <c r="A53" s="69" t="s">
        <v>274</v>
      </c>
      <c r="B53" s="13"/>
      <c r="C53" s="13"/>
      <c r="D53" s="80">
        <f>SUM(D54:D57)</f>
        <v>16811862</v>
      </c>
      <c r="E53" s="80">
        <f t="shared" ref="E53:M53" si="11">SUM(E54:E57)</f>
        <v>15659897</v>
      </c>
      <c r="F53" s="80">
        <f t="shared" si="11"/>
        <v>6146773</v>
      </c>
      <c r="G53" s="80">
        <f t="shared" si="11"/>
        <v>9488000</v>
      </c>
      <c r="H53" s="80">
        <f t="shared" si="11"/>
        <v>9780000</v>
      </c>
      <c r="I53" s="81">
        <f t="shared" si="11"/>
        <v>9780000</v>
      </c>
      <c r="J53" s="812">
        <f>SUM(J54:J57)</f>
        <v>9780000</v>
      </c>
      <c r="K53" s="82">
        <f t="shared" si="11"/>
        <v>12965000</v>
      </c>
      <c r="L53" s="80">
        <f t="shared" si="11"/>
        <v>14492300</v>
      </c>
      <c r="M53" s="83">
        <f t="shared" si="11"/>
        <v>14477838</v>
      </c>
    </row>
    <row r="54" spans="1:13" x14ac:dyDescent="0.2">
      <c r="A54" s="70" t="s">
        <v>279</v>
      </c>
      <c r="B54" s="13"/>
      <c r="C54" s="13"/>
      <c r="D54" s="84">
        <f>-'A7-CFlow'!C24-NERF!D55-NERF!D56-NERF!D57</f>
        <v>15084744</v>
      </c>
      <c r="E54" s="84">
        <f>-'A7-CFlow'!D24-NERF!E55-NERF!E56-NERF!E57</f>
        <v>14396355.58</v>
      </c>
      <c r="F54" s="84">
        <f>-'A7-CFlow'!E24-NERF!F55-NERF!F56-NERF!F57</f>
        <v>5515238.7999999998</v>
      </c>
      <c r="G54" s="84">
        <f>-'A7-CFlow'!F24-NERF!G55-NERF!G56-NERF!G57</f>
        <v>9488000</v>
      </c>
      <c r="H54" s="84">
        <f>-'A7-CFlow'!G24-NERF!H55-NERF!H56-NERF!H57</f>
        <v>9780000</v>
      </c>
      <c r="I54" s="85">
        <f>-'A7-CFlow'!H24-NERF!I55-NERF!I56-NERF!I57</f>
        <v>9780000</v>
      </c>
      <c r="J54" s="815">
        <f>-'A7-CFlow'!I24-NERF!J55-NERF!J56-NERF!J57</f>
        <v>9780000</v>
      </c>
      <c r="K54" s="86">
        <f>-'A7-CFlow'!J24-NERF!K55-NERF!K56-NERF!K57</f>
        <v>12965000</v>
      </c>
      <c r="L54" s="84">
        <f>-'A7-CFlow'!K24-NERF!L55-NERF!L56-NERF!L57</f>
        <v>14492300</v>
      </c>
      <c r="M54" s="87">
        <f>-'A7-CFlow'!L24-NERF!M55-NERF!M56-NERF!M57</f>
        <v>14477838</v>
      </c>
    </row>
    <row r="55" spans="1:13" x14ac:dyDescent="0.2">
      <c r="A55" s="70" t="s">
        <v>275</v>
      </c>
      <c r="B55" s="13"/>
      <c r="C55" s="13"/>
      <c r="D55" s="76">
        <f>SA34a!C52+SA34a!C54+SA34a!C55+SA34a!C56</f>
        <v>1727118</v>
      </c>
      <c r="E55" s="76">
        <f>SA34a!D52+SA34a!D54+SA34a!D55+SA34a!D56</f>
        <v>1219211.42</v>
      </c>
      <c r="F55" s="76">
        <f>SA34a!E52+SA34a!E54+SA34a!E55+SA34a!E56</f>
        <v>631534.19999999995</v>
      </c>
      <c r="G55" s="76">
        <f>SA34a!F52+SA34a!F54+SA34a!F55+SA34a!F56</f>
        <v>0</v>
      </c>
      <c r="H55" s="76">
        <f>SA34a!G52+SA34a!G54+SA34a!G55+SA34a!G56</f>
        <v>0</v>
      </c>
      <c r="I55" s="77">
        <f>SA34a!H52+SA34a!H54+SA34a!H55+SA34a!H56</f>
        <v>0</v>
      </c>
      <c r="J55" s="811">
        <f>SA34a!I52+SA34a!I54+SA34a!I55+SA34a!I56</f>
        <v>0</v>
      </c>
      <c r="K55" s="78">
        <f>SA34a!I52+SA34a!I54+SA34a!I55+SA34a!I56</f>
        <v>0</v>
      </c>
      <c r="L55" s="76">
        <f>SA34a!J52+SA34a!J54+SA34a!J55+SA34a!J56</f>
        <v>0</v>
      </c>
      <c r="M55" s="79">
        <f>SA34a!K52+SA34a!K54+SA34a!K55+SA34a!K56</f>
        <v>0</v>
      </c>
    </row>
    <row r="56" spans="1:13" x14ac:dyDescent="0.2">
      <c r="A56" s="70" t="s">
        <v>276</v>
      </c>
      <c r="B56" s="13"/>
      <c r="C56" s="13"/>
      <c r="D56" s="76">
        <f>'A9-Asset'!C48</f>
        <v>0</v>
      </c>
      <c r="E56" s="76">
        <f>'A9-Asset'!D48</f>
        <v>44330</v>
      </c>
      <c r="F56" s="76">
        <f>'A9-Asset'!E48</f>
        <v>0</v>
      </c>
      <c r="G56" s="76">
        <f>'A9-Asset'!F48</f>
        <v>0</v>
      </c>
      <c r="H56" s="76">
        <f>'A9-Asset'!G48</f>
        <v>0</v>
      </c>
      <c r="I56" s="77">
        <f>'A9-Asset'!H48</f>
        <v>0</v>
      </c>
      <c r="J56" s="811">
        <f>'A9-Asset'!I48</f>
        <v>0</v>
      </c>
      <c r="K56" s="78">
        <f>'A9-Asset'!I48</f>
        <v>0</v>
      </c>
      <c r="L56" s="76">
        <f>'A9-Asset'!J48</f>
        <v>0</v>
      </c>
      <c r="M56" s="79">
        <f>'A9-Asset'!K48</f>
        <v>0</v>
      </c>
    </row>
    <row r="57" spans="1:13" x14ac:dyDescent="0.2">
      <c r="A57" s="70" t="s">
        <v>615</v>
      </c>
      <c r="B57" s="13"/>
      <c r="C57" s="13"/>
      <c r="D57" s="76">
        <f>SA34a!C61</f>
        <v>0</v>
      </c>
      <c r="E57" s="76">
        <f>SA34a!D61</f>
        <v>0</v>
      </c>
      <c r="F57" s="76">
        <f>SA34a!E61</f>
        <v>0</v>
      </c>
      <c r="G57" s="76">
        <f>SA34a!F61</f>
        <v>0</v>
      </c>
      <c r="H57" s="76">
        <f>SA34a!G61</f>
        <v>0</v>
      </c>
      <c r="I57" s="77">
        <f>SA34a!H61</f>
        <v>0</v>
      </c>
      <c r="J57" s="811">
        <f>SA34a!I61</f>
        <v>0</v>
      </c>
      <c r="K57" s="78">
        <f>SA34a!I61</f>
        <v>0</v>
      </c>
      <c r="L57" s="76">
        <f>SA34a!J61</f>
        <v>0</v>
      </c>
      <c r="M57" s="79">
        <f>SA34a!K61</f>
        <v>0</v>
      </c>
    </row>
    <row r="58" spans="1:13" x14ac:dyDescent="0.2">
      <c r="A58" s="8" t="s">
        <v>266</v>
      </c>
      <c r="B58" s="68"/>
      <c r="C58" s="68"/>
      <c r="D58" s="92" t="e">
        <f>SUM(D34,D37,D43,D47,D48,D49,D53)</f>
        <v>#REF!</v>
      </c>
      <c r="E58" s="92" t="e">
        <f t="shared" ref="E58:M58" si="12">SUM(E34,E37,E43,E47,E48,E49,E53)</f>
        <v>#REF!</v>
      </c>
      <c r="F58" s="92" t="e">
        <f t="shared" si="12"/>
        <v>#REF!</v>
      </c>
      <c r="G58" s="92" t="e">
        <f t="shared" si="12"/>
        <v>#REF!</v>
      </c>
      <c r="H58" s="92" t="e">
        <f t="shared" si="12"/>
        <v>#REF!</v>
      </c>
      <c r="I58" s="93" t="e">
        <f t="shared" si="12"/>
        <v>#REF!</v>
      </c>
      <c r="J58" s="818" t="e">
        <f>SUM(J34,J37,J43,J47,J48,J49,J53)</f>
        <v>#REF!</v>
      </c>
      <c r="K58" s="94" t="e">
        <f t="shared" si="12"/>
        <v>#REF!</v>
      </c>
      <c r="L58" s="92" t="e">
        <f t="shared" si="12"/>
        <v>#REF!</v>
      </c>
      <c r="M58" s="95" t="e">
        <f t="shared" si="12"/>
        <v>#REF!</v>
      </c>
    </row>
    <row r="59" spans="1:13" x14ac:dyDescent="0.2">
      <c r="A59" s="15" t="s">
        <v>277</v>
      </c>
      <c r="B59" s="13"/>
      <c r="C59" s="13"/>
      <c r="D59" s="80" t="e">
        <f>D31-D58</f>
        <v>#REF!</v>
      </c>
      <c r="E59" s="80" t="e">
        <f t="shared" ref="E59:M59" si="13">E31-E58</f>
        <v>#REF!</v>
      </c>
      <c r="F59" s="80" t="e">
        <f t="shared" si="13"/>
        <v>#REF!</v>
      </c>
      <c r="G59" s="80" t="e">
        <f t="shared" si="13"/>
        <v>#REF!</v>
      </c>
      <c r="H59" s="80" t="e">
        <f t="shared" si="13"/>
        <v>#REF!</v>
      </c>
      <c r="I59" s="81" t="e">
        <f t="shared" si="13"/>
        <v>#REF!</v>
      </c>
      <c r="J59" s="812" t="e">
        <f t="shared" si="13"/>
        <v>#REF!</v>
      </c>
      <c r="K59" s="82" t="e">
        <f t="shared" si="13"/>
        <v>#REF!</v>
      </c>
      <c r="L59" s="80" t="e">
        <f t="shared" si="13"/>
        <v>#REF!</v>
      </c>
      <c r="M59" s="83" t="e">
        <f t="shared" si="13"/>
        <v>#REF!</v>
      </c>
    </row>
    <row r="60" spans="1:13" x14ac:dyDescent="0.2">
      <c r="A60" s="69" t="s">
        <v>1444</v>
      </c>
      <c r="B60" s="13"/>
      <c r="C60" s="13"/>
      <c r="D60" s="80"/>
      <c r="E60" s="80"/>
      <c r="F60" s="80"/>
      <c r="G60" s="80"/>
      <c r="H60" s="80"/>
      <c r="I60" s="81"/>
      <c r="J60" s="812"/>
      <c r="K60" s="82"/>
      <c r="L60" s="80"/>
      <c r="M60" s="83"/>
    </row>
    <row r="61" spans="1:13" x14ac:dyDescent="0.2">
      <c r="A61" s="97" t="str">
        <f>'A7-CFlow'!A30</f>
        <v>Borrowing long term/refinancing</v>
      </c>
      <c r="B61" s="13"/>
      <c r="C61" s="13"/>
      <c r="D61" s="110">
        <f>SUM('A7-CFlow'!C29,'A7-CFlow'!C30)</f>
        <v>0</v>
      </c>
      <c r="E61" s="110">
        <f>SUM('A7-CFlow'!D29,'A7-CFlow'!D30)</f>
        <v>177073.18</v>
      </c>
      <c r="F61" s="110">
        <f>SUM('A7-CFlow'!E29,'A7-CFlow'!E30)</f>
        <v>0</v>
      </c>
      <c r="G61" s="110">
        <f>SUM('A7-CFlow'!F29,'A7-CFlow'!F30)</f>
        <v>0</v>
      </c>
      <c r="H61" s="110">
        <f>SUM('A7-CFlow'!G29,'A7-CFlow'!G30)</f>
        <v>0</v>
      </c>
      <c r="I61" s="111">
        <f>SUM('A7-CFlow'!H29,'A7-CFlow'!H30)</f>
        <v>0</v>
      </c>
      <c r="J61" s="817">
        <f>SUM('A7-CFlow'!I29,'A7-CFlow'!I30)</f>
        <v>0</v>
      </c>
      <c r="K61" s="112">
        <f>SUM('A7-CFlow'!J29,'A7-CFlow'!J30)</f>
        <v>0</v>
      </c>
      <c r="L61" s="110">
        <f>SUM('A7-CFlow'!K29,'A7-CFlow'!K30)</f>
        <v>0</v>
      </c>
      <c r="M61" s="116">
        <f>SUM('A7-CFlow'!L29,'A7-CFlow'!L30)</f>
        <v>0</v>
      </c>
    </row>
    <row r="62" spans="1:13" x14ac:dyDescent="0.2">
      <c r="A62" s="70" t="s">
        <v>1518</v>
      </c>
      <c r="B62" s="13"/>
      <c r="C62" s="13"/>
      <c r="D62" s="110">
        <f>'A7-CFlow'!C31</f>
        <v>19387.300000000003</v>
      </c>
      <c r="E62" s="110">
        <f>'A7-CFlow'!D31</f>
        <v>29734</v>
      </c>
      <c r="F62" s="110">
        <f>'A7-CFlow'!E31</f>
        <v>6030</v>
      </c>
      <c r="G62" s="110">
        <f>'A7-CFlow'!F31</f>
        <v>173000</v>
      </c>
      <c r="H62" s="110">
        <f>'A7-CFlow'!G31</f>
        <v>9412.8600000000151</v>
      </c>
      <c r="I62" s="111">
        <f>'A7-CFlow'!H31</f>
        <v>9412.8600000000151</v>
      </c>
      <c r="J62" s="817">
        <f>'A7-CFlow'!I31</f>
        <v>9412.8600000000151</v>
      </c>
      <c r="K62" s="112">
        <f>'A7-CFlow'!J31</f>
        <v>11640.570200000016</v>
      </c>
      <c r="L62" s="110">
        <f>'A7-CFlow'!K31</f>
        <v>12455.410114000028</v>
      </c>
      <c r="M62" s="116">
        <f>'A7-CFlow'!L31</f>
        <v>13327.288821980008</v>
      </c>
    </row>
    <row r="63" spans="1:13" x14ac:dyDescent="0.2">
      <c r="A63" s="70" t="s">
        <v>995</v>
      </c>
      <c r="B63" s="13"/>
      <c r="C63" s="13"/>
      <c r="D63" s="110">
        <f>IF('A7-CFlow'!C22&gt;0,'A7-CFlow'!C22,0)</f>
        <v>0</v>
      </c>
      <c r="E63" s="110">
        <f>IF('A7-CFlow'!D22&gt;0,'A7-CFlow'!D22,0)</f>
        <v>567481</v>
      </c>
      <c r="F63" s="110">
        <f>IF('A7-CFlow'!E22&gt;0,'A7-CFlow'!E22,0)</f>
        <v>0</v>
      </c>
      <c r="G63" s="110">
        <f>IF('A7-CFlow'!F22&gt;0,'A7-CFlow'!F22,0)</f>
        <v>0</v>
      </c>
      <c r="H63" s="110">
        <f>IF('A7-CFlow'!G22&gt;0,'A7-CFlow'!G22,0)</f>
        <v>0</v>
      </c>
      <c r="I63" s="111">
        <f>IF('A7-CFlow'!H22&gt;0,'A7-CFlow'!H22,0)</f>
        <v>0</v>
      </c>
      <c r="J63" s="817">
        <f>IF('A7-CFlow'!I22&gt;0,'A7-CFlow'!I22,0)</f>
        <v>0</v>
      </c>
      <c r="K63" s="112">
        <f>IF('A7-CFlow'!J22&gt;0,'A7-CFlow'!J22,0)</f>
        <v>0</v>
      </c>
      <c r="L63" s="110">
        <f>IF('A7-CFlow'!K22&gt;0,'A7-CFlow'!K22,0)</f>
        <v>0</v>
      </c>
      <c r="M63" s="116">
        <f>IF('A7-CFlow'!L22&gt;0,'A7-CFlow'!L22,0)</f>
        <v>0</v>
      </c>
    </row>
    <row r="64" spans="1:13" x14ac:dyDescent="0.2">
      <c r="A64" s="70" t="s">
        <v>343</v>
      </c>
      <c r="B64" s="13"/>
      <c r="C64" s="13"/>
      <c r="D64" s="110">
        <f>IF('A7-CFlow'!C22&lt;0,'A7-CFlow'!C22,0)</f>
        <v>-174085.82000000007</v>
      </c>
      <c r="E64" s="110">
        <f>IF('A7-CFlow'!D22&lt;0,'A7-CFlow'!D22,0)</f>
        <v>0</v>
      </c>
      <c r="F64" s="110">
        <f>IF('A7-CFlow'!E22&lt;0,'A7-CFlow'!E22,0)</f>
        <v>-24398</v>
      </c>
      <c r="G64" s="110">
        <f>IF('A7-CFlow'!F22&lt;0,'A7-CFlow'!F22,0)</f>
        <v>0</v>
      </c>
      <c r="H64" s="110">
        <f>IF('A7-CFlow'!G22&lt;0,'A7-CFlow'!G22,0)</f>
        <v>0</v>
      </c>
      <c r="I64" s="111">
        <f>IF('A7-CFlow'!H22&lt;0,'A7-CFlow'!H22,0)</f>
        <v>0</v>
      </c>
      <c r="J64" s="817">
        <f>IF('A7-CFlow'!I22&lt;0,'A7-CFlow'!I22,0)</f>
        <v>0</v>
      </c>
      <c r="K64" s="112">
        <f>IF('A7-CFlow'!J22&lt;0,'A7-CFlow'!J22,0)</f>
        <v>-59830</v>
      </c>
      <c r="L64" s="110">
        <f>IF('A7-CFlow'!K22&lt;0,'A7-CFlow'!K22,0)</f>
        <v>-89000</v>
      </c>
      <c r="M64" s="116">
        <f>IF('A7-CFlow'!L22&lt;0,'A7-CFlow'!L22,0)</f>
        <v>-94000</v>
      </c>
    </row>
    <row r="65" spans="1:13" x14ac:dyDescent="0.2">
      <c r="A65" s="70" t="str">
        <f>'A7-CFlow'!A33</f>
        <v>Repayment of borrowing</v>
      </c>
      <c r="B65" s="13"/>
      <c r="C65" s="13"/>
      <c r="D65" s="110">
        <f>'A7-CFlow'!C33</f>
        <v>-390960.19000000018</v>
      </c>
      <c r="E65" s="110">
        <f>'A7-CFlow'!D33</f>
        <v>-169023.1102585576</v>
      </c>
      <c r="F65" s="110">
        <f>'A7-CFlow'!E33</f>
        <v>-197566</v>
      </c>
      <c r="G65" s="110">
        <f>'A7-CFlow'!F33</f>
        <v>-1889000</v>
      </c>
      <c r="H65" s="110">
        <f>'A7-CFlow'!G33</f>
        <v>-244873.94999999995</v>
      </c>
      <c r="I65" s="111">
        <f>'A7-CFlow'!H33</f>
        <v>-244873.94999999995</v>
      </c>
      <c r="J65" s="817">
        <f>'A7-CFlow'!I33</f>
        <v>-244873.94999999995</v>
      </c>
      <c r="K65" s="112">
        <f>'A7-CFlow'!J33</f>
        <v>-235509.85960573898</v>
      </c>
      <c r="L65" s="110">
        <f>'A7-CFlow'!K33</f>
        <v>-208236.01676926101</v>
      </c>
      <c r="M65" s="116">
        <f>'A7-CFlow'!L33</f>
        <v>-203583.173625</v>
      </c>
    </row>
    <row r="66" spans="1:13" x14ac:dyDescent="0.2">
      <c r="A66" s="37" t="str">
        <f>A59&amp;" and Financing"</f>
        <v>Receipts less payments and Financing</v>
      </c>
      <c r="B66" s="13"/>
      <c r="C66" s="13"/>
      <c r="D66" s="80" t="e">
        <f>SUM(D59:D65)</f>
        <v>#REF!</v>
      </c>
      <c r="E66" s="80" t="e">
        <f t="shared" ref="E66:M66" si="14">SUM(E59:E65)</f>
        <v>#REF!</v>
      </c>
      <c r="F66" s="80" t="e">
        <f t="shared" si="14"/>
        <v>#REF!</v>
      </c>
      <c r="G66" s="80" t="e">
        <f t="shared" si="14"/>
        <v>#REF!</v>
      </c>
      <c r="H66" s="80" t="e">
        <f t="shared" si="14"/>
        <v>#REF!</v>
      </c>
      <c r="I66" s="81" t="e">
        <f t="shared" si="14"/>
        <v>#REF!</v>
      </c>
      <c r="J66" s="812" t="e">
        <f t="shared" si="14"/>
        <v>#REF!</v>
      </c>
      <c r="K66" s="82" t="e">
        <f t="shared" si="14"/>
        <v>#REF!</v>
      </c>
      <c r="L66" s="80" t="e">
        <f t="shared" si="14"/>
        <v>#REF!</v>
      </c>
      <c r="M66" s="83" t="e">
        <f t="shared" si="14"/>
        <v>#REF!</v>
      </c>
    </row>
    <row r="67" spans="1:13" x14ac:dyDescent="0.2">
      <c r="A67" s="15" t="s">
        <v>278</v>
      </c>
      <c r="B67" s="13"/>
      <c r="C67" s="13"/>
      <c r="D67" s="80">
        <f>'A7-CFlow'!C36</f>
        <v>-4712951.6199999899</v>
      </c>
      <c r="E67" s="80">
        <f>'A7-CFlow'!D36</f>
        <v>6086056.9782135487</v>
      </c>
      <c r="F67" s="80">
        <f>'A7-CFlow'!E36</f>
        <v>-1382540.1002634913</v>
      </c>
      <c r="G67" s="80">
        <f>'A7-CFlow'!F36</f>
        <v>2483503.1380800009</v>
      </c>
      <c r="H67" s="80">
        <f>'A7-CFlow'!G36</f>
        <v>-18620508.947214272</v>
      </c>
      <c r="I67" s="81">
        <f>'A7-CFlow'!H36</f>
        <v>-18620508.947214272</v>
      </c>
      <c r="J67" s="812">
        <f>'A7-CFlow'!I36</f>
        <v>-18620508.947214272</v>
      </c>
      <c r="K67" s="82">
        <f>'A7-CFlow'!J36</f>
        <v>-10105552.195957622</v>
      </c>
      <c r="L67" s="80">
        <f>'A7-CFlow'!K36</f>
        <v>-8734178.7998752948</v>
      </c>
      <c r="M67" s="83">
        <f>'A7-CFlow'!L36</f>
        <v>-8540632.7424235418</v>
      </c>
    </row>
    <row r="68" spans="1:13" ht="12" thickBot="1" x14ac:dyDescent="0.25">
      <c r="A68" s="14"/>
      <c r="B68" s="14"/>
      <c r="C68" s="14"/>
      <c r="D68" s="96" t="e">
        <f>D66-D67</f>
        <v>#REF!</v>
      </c>
      <c r="E68" s="96" t="e">
        <f t="shared" ref="E68:M68" si="15">E66-E67</f>
        <v>#REF!</v>
      </c>
      <c r="F68" s="96" t="e">
        <f t="shared" si="15"/>
        <v>#REF!</v>
      </c>
      <c r="G68" s="96" t="e">
        <f t="shared" si="15"/>
        <v>#REF!</v>
      </c>
      <c r="H68" s="96" t="e">
        <f t="shared" si="15"/>
        <v>#REF!</v>
      </c>
      <c r="I68" s="126" t="e">
        <f t="shared" si="15"/>
        <v>#REF!</v>
      </c>
      <c r="J68" s="821" t="e">
        <f t="shared" si="15"/>
        <v>#REF!</v>
      </c>
      <c r="K68" s="127" t="e">
        <f t="shared" si="15"/>
        <v>#REF!</v>
      </c>
      <c r="L68" s="128" t="e">
        <f t="shared" si="15"/>
        <v>#REF!</v>
      </c>
      <c r="M68" s="129" t="e">
        <f t="shared" si="15"/>
        <v>#REF!</v>
      </c>
    </row>
    <row r="70" spans="1:13" x14ac:dyDescent="0.2">
      <c r="A70" s="2" t="s">
        <v>267</v>
      </c>
      <c r="C70" s="73"/>
      <c r="D70" s="72">
        <f>'A7-CFlow'!C20+'A7-CFlow'!C21-NERF!D74</f>
        <v>-241451.52166666673</v>
      </c>
      <c r="E70" s="72">
        <f>'A7-CFlow'!D20+'A7-CFlow'!D21-NERF!E74</f>
        <v>3045179</v>
      </c>
      <c r="F70" s="72">
        <f>'A7-CFlow'!E20+'A7-CFlow'!E21-NERF!F74</f>
        <v>2764886.93</v>
      </c>
      <c r="G70" s="72">
        <f>'A7-CFlow'!F20+'A7-CFlow'!F21-NERF!G74</f>
        <v>-3995685.41</v>
      </c>
      <c r="H70" s="72">
        <f>'A7-CFlow'!G20+'A7-CFlow'!G21-NERF!H74</f>
        <v>3429478.45</v>
      </c>
      <c r="I70" s="72">
        <f>'A7-CFlow'!H20+'A7-CFlow'!H21-NERF!I74</f>
        <v>0</v>
      </c>
      <c r="J70" s="72">
        <f>'A7-CFlow'!I20+'A7-CFlow'!I21-NERF!J74</f>
        <v>0</v>
      </c>
      <c r="K70" s="72">
        <f>'A7-CFlow'!J20+'A7-CFlow'!J21-NERF!K74</f>
        <v>0</v>
      </c>
      <c r="L70" s="72">
        <f>'A7-CFlow'!K20+'A7-CFlow'!K21-NERF!L74</f>
        <v>0</v>
      </c>
      <c r="M70" s="72">
        <f>'A7-CFlow'!L20+'A7-CFlow'!L21-NERF!M74</f>
        <v>0</v>
      </c>
    </row>
    <row r="71" spans="1:13" x14ac:dyDescent="0.2">
      <c r="A71" s="2" t="s">
        <v>1604</v>
      </c>
      <c r="C71" s="77"/>
      <c r="D71" s="124">
        <f t="shared" ref="D71:M71" si="16">IF(ISERROR(ROUND(D70*D76,0)),0,(ROUND(D70*D76,0)))</f>
        <v>-46359</v>
      </c>
      <c r="E71" s="76">
        <f t="shared" si="16"/>
        <v>739978</v>
      </c>
      <c r="F71" s="76">
        <f t="shared" si="16"/>
        <v>389849</v>
      </c>
      <c r="G71" s="76">
        <f t="shared" si="16"/>
        <v>-1002917</v>
      </c>
      <c r="H71" s="76">
        <f t="shared" si="16"/>
        <v>781921</v>
      </c>
      <c r="I71" s="76">
        <f t="shared" si="16"/>
        <v>0</v>
      </c>
      <c r="J71" s="76">
        <f t="shared" si="16"/>
        <v>0</v>
      </c>
      <c r="K71" s="76">
        <f t="shared" si="16"/>
        <v>0</v>
      </c>
      <c r="L71" s="76">
        <f t="shared" si="16"/>
        <v>0</v>
      </c>
      <c r="M71" s="76">
        <f t="shared" si="16"/>
        <v>0</v>
      </c>
    </row>
    <row r="72" spans="1:13" x14ac:dyDescent="0.2">
      <c r="A72" s="2" t="s">
        <v>1606</v>
      </c>
      <c r="C72" s="10"/>
      <c r="D72" s="76">
        <f>D70-D71</f>
        <v>-195092.52166666673</v>
      </c>
      <c r="E72" s="76">
        <f t="shared" ref="E72:M72" si="17">E70-E71</f>
        <v>2305201</v>
      </c>
      <c r="F72" s="76">
        <f t="shared" si="17"/>
        <v>2375037.9300000002</v>
      </c>
      <c r="G72" s="76">
        <f t="shared" si="17"/>
        <v>-2992768.41</v>
      </c>
      <c r="H72" s="76">
        <f t="shared" si="17"/>
        <v>2647557.4500000002</v>
      </c>
      <c r="I72" s="76">
        <f t="shared" si="17"/>
        <v>0</v>
      </c>
      <c r="J72" s="76">
        <f t="shared" si="17"/>
        <v>0</v>
      </c>
      <c r="K72" s="76">
        <f t="shared" si="17"/>
        <v>0</v>
      </c>
      <c r="L72" s="76">
        <f t="shared" si="17"/>
        <v>0</v>
      </c>
      <c r="M72" s="76">
        <f t="shared" si="17"/>
        <v>0</v>
      </c>
    </row>
    <row r="73" spans="1:13" x14ac:dyDescent="0.2">
      <c r="A73" s="2" t="str">
        <f>'A6-FinPos'!A9</f>
        <v>Other debtors</v>
      </c>
      <c r="C73" s="77">
        <f>TREND(D73:F73)</f>
        <v>6292121.4883333333</v>
      </c>
      <c r="D73" s="76">
        <f>'A6-FinPos'!C9</f>
        <v>6313789</v>
      </c>
      <c r="E73" s="76">
        <f>'A6-FinPos'!D9</f>
        <v>3244661</v>
      </c>
      <c r="F73" s="76">
        <f>'A6-FinPos'!E9</f>
        <v>305538.07</v>
      </c>
      <c r="G73" s="76">
        <f>'A6-FinPos'!F9</f>
        <v>4041082.52</v>
      </c>
      <c r="H73" s="76">
        <f>'A6-FinPos'!G9</f>
        <v>611604.06999999983</v>
      </c>
      <c r="I73" s="76">
        <f>'A6-FinPos'!H9</f>
        <v>611604.06999999983</v>
      </c>
      <c r="J73" s="76">
        <f>'A6-FinPos'!I9</f>
        <v>611604.06999999983</v>
      </c>
      <c r="K73" s="76">
        <f>'A6-FinPos'!J9</f>
        <v>611604.06999999983</v>
      </c>
      <c r="L73" s="76">
        <f>'A6-FinPos'!K9</f>
        <v>611604.06999999983</v>
      </c>
      <c r="M73" s="76">
        <f>'A6-FinPos'!L9</f>
        <v>611604.06999999983</v>
      </c>
    </row>
    <row r="74" spans="1:13" x14ac:dyDescent="0.2">
      <c r="A74" s="2" t="s">
        <v>268</v>
      </c>
      <c r="C74" s="77"/>
      <c r="D74" s="76">
        <f>D73-C73</f>
        <v>21667.511666666716</v>
      </c>
      <c r="E74" s="76">
        <f t="shared" ref="E74:M74" si="18">E73-D73</f>
        <v>-3069128</v>
      </c>
      <c r="F74" s="76">
        <f t="shared" si="18"/>
        <v>-2939122.93</v>
      </c>
      <c r="G74" s="76">
        <f t="shared" si="18"/>
        <v>3735544.45</v>
      </c>
      <c r="H74" s="76">
        <f t="shared" si="18"/>
        <v>-3429478.45</v>
      </c>
      <c r="I74" s="76">
        <f t="shared" si="18"/>
        <v>0</v>
      </c>
      <c r="J74" s="76">
        <f t="shared" si="18"/>
        <v>0</v>
      </c>
      <c r="K74" s="76">
        <f>K73-I73</f>
        <v>0</v>
      </c>
      <c r="L74" s="76">
        <f t="shared" si="18"/>
        <v>0</v>
      </c>
      <c r="M74" s="76">
        <f t="shared" si="18"/>
        <v>0</v>
      </c>
    </row>
    <row r="75" spans="1:13" x14ac:dyDescent="0.2">
      <c r="C75" s="10"/>
      <c r="D75" s="13"/>
      <c r="E75" s="13"/>
      <c r="F75" s="13"/>
      <c r="G75" s="13"/>
      <c r="H75" s="13"/>
      <c r="I75" s="13"/>
      <c r="J75" s="13"/>
      <c r="K75" s="13"/>
      <c r="L75" s="13"/>
      <c r="M75" s="13"/>
    </row>
    <row r="76" spans="1:13" x14ac:dyDescent="0.2">
      <c r="A76" s="2" t="s">
        <v>1605</v>
      </c>
      <c r="C76" s="10"/>
      <c r="D76" s="56">
        <f>IF(ISERROR(ROUND(('A4-FinPerf RE'!C5+'A4-FinPerf RE'!C6)/SUM('A4-FinPerf RE'!C5:C11),3)),0,(ROUND(('A4-FinPerf RE'!C5+'A4-FinPerf RE'!C6)/SUM('A4-FinPerf RE'!C5:C11),3)))</f>
        <v>0.192</v>
      </c>
      <c r="E76" s="56">
        <f>IF(ISERROR(ROUND(('A4-FinPerf RE'!D5+'A4-FinPerf RE'!D6)/SUM('A4-FinPerf RE'!D5:D11),3)),0,(ROUND(('A4-FinPerf RE'!D5+'A4-FinPerf RE'!D6)/SUM('A4-FinPerf RE'!D5:D11),3)))</f>
        <v>0.24299999999999999</v>
      </c>
      <c r="F76" s="56">
        <f>IF(ISERROR(ROUND(('A4-FinPerf RE'!E5+'A4-FinPerf RE'!E6)/SUM('A4-FinPerf RE'!E5:E11),3)),0,(ROUND(('A4-FinPerf RE'!E5+'A4-FinPerf RE'!E6)/SUM('A4-FinPerf RE'!E5:E11),3)))</f>
        <v>0.14099999999999999</v>
      </c>
      <c r="G76" s="56">
        <f>IF(ISERROR(ROUND(('A4-FinPerf RE'!F5+'A4-FinPerf RE'!F6)/SUM('A4-FinPerf RE'!F5:F11),3)),0,(ROUND(('A4-FinPerf RE'!F5+'A4-FinPerf RE'!F6)/SUM('A4-FinPerf RE'!F5:F11),3)))</f>
        <v>0.251</v>
      </c>
      <c r="H76" s="56">
        <f>IF(ISERROR(ROUND(('A4-FinPerf RE'!G5+'A4-FinPerf RE'!G6)/SUM('A4-FinPerf RE'!G5:G11),3)),0,(ROUND(('A4-FinPerf RE'!G5+'A4-FinPerf RE'!G6)/SUM('A4-FinPerf RE'!G5:G11),3)))</f>
        <v>0.22800000000000001</v>
      </c>
      <c r="I76" s="56">
        <f>IF(ISERROR(ROUND(('A4-FinPerf RE'!H5+'A4-FinPerf RE'!H6)/SUM('A4-FinPerf RE'!H5:H11),3)),0,(ROUND(('A4-FinPerf RE'!H5+'A4-FinPerf RE'!H6)/SUM('A4-FinPerf RE'!H5:H11),3)))</f>
        <v>0.22800000000000001</v>
      </c>
      <c r="J76" s="56">
        <f>IF(ISERROR(ROUND(('A4-FinPerf RE'!I5+'A4-FinPerf RE'!I6)/SUM('A4-FinPerf RE'!I5:I11),3)),0,(ROUND(('A4-FinPerf RE'!I5+'A4-FinPerf RE'!I6)/SUM('A4-FinPerf RE'!I5:I11),3)))</f>
        <v>0.22800000000000001</v>
      </c>
      <c r="K76" s="56">
        <f>IF(ISERROR(ROUND(('A4-FinPerf RE'!J5+'A4-FinPerf RE'!J6)/SUM('A4-FinPerf RE'!J5:J11),3)),0,(ROUND(('A4-FinPerf RE'!J5+'A4-FinPerf RE'!J6)/SUM('A4-FinPerf RE'!J5:J11),3)))</f>
        <v>0.22500000000000001</v>
      </c>
      <c r="L76" s="56">
        <f>IF(ISERROR(ROUND(('A4-FinPerf RE'!K5+'A4-FinPerf RE'!K6)/SUM('A4-FinPerf RE'!K5:K11),3)),0,(ROUND(('A4-FinPerf RE'!K5+'A4-FinPerf RE'!K6)/SUM('A4-FinPerf RE'!K5:K11),3)))</f>
        <v>0.22500000000000001</v>
      </c>
      <c r="M76" s="56">
        <f>IF(ISERROR(ROUND(('A4-FinPerf RE'!L5+'A4-FinPerf RE'!L6)/SUM('A4-FinPerf RE'!L5:L11),3)),0,(ROUND(('A4-FinPerf RE'!L5+'A4-FinPerf RE'!L6)/SUM('A4-FinPerf RE'!L5:L11),3)))</f>
        <v>0.22500000000000001</v>
      </c>
    </row>
    <row r="77" spans="1:13" x14ac:dyDescent="0.2">
      <c r="A77" s="2" t="s">
        <v>1447</v>
      </c>
      <c r="C77" s="77"/>
      <c r="D77" s="76" t="e">
        <f>D31-'A7-CFlow'!C43</f>
        <v>#REF!</v>
      </c>
      <c r="E77" s="76" t="e">
        <f>E31-'A7-CFlow'!D43</f>
        <v>#REF!</v>
      </c>
      <c r="F77" s="76" t="e">
        <f>F31-'A7-CFlow'!E43</f>
        <v>#REF!</v>
      </c>
      <c r="G77" s="76" t="e">
        <f>G31-'A7-CFlow'!F43</f>
        <v>#REF!</v>
      </c>
      <c r="H77" s="76" t="e">
        <f>H31-'A7-CFlow'!G43</f>
        <v>#REF!</v>
      </c>
      <c r="I77" s="76" t="e">
        <f>I31-'A7-CFlow'!H43</f>
        <v>#REF!</v>
      </c>
      <c r="J77" s="76" t="e">
        <f>J31-'A7-CFlow'!I43</f>
        <v>#REF!</v>
      </c>
      <c r="K77" s="76" t="e">
        <f>K31-'A7-CFlow'!J43</f>
        <v>#REF!</v>
      </c>
      <c r="L77" s="76" t="e">
        <f>L31-'A7-CFlow'!K43</f>
        <v>#REF!</v>
      </c>
      <c r="M77" s="76" t="e">
        <f>M31-'A7-CFlow'!L43</f>
        <v>#REF!</v>
      </c>
    </row>
    <row r="78" spans="1:13" x14ac:dyDescent="0.2">
      <c r="A78" s="2" t="s">
        <v>1445</v>
      </c>
      <c r="D78" s="76">
        <f>'A7-CFlow'!C20+'A7-CFlow'!C21-NERF!D71-NERF!D72-NERF!D74</f>
        <v>0</v>
      </c>
      <c r="E78" s="76">
        <f>'A7-CFlow'!D20+'A7-CFlow'!D21-NERF!E71-NERF!E72-NERF!E74</f>
        <v>0</v>
      </c>
      <c r="F78" s="76">
        <f>'A7-CFlow'!E20+'A7-CFlow'!E21-NERF!F71-NERF!F72-NERF!F74</f>
        <v>0</v>
      </c>
      <c r="G78" s="76">
        <f>'A7-CFlow'!F20+'A7-CFlow'!F21-NERF!G71-NERF!G72-NERF!G74</f>
        <v>0</v>
      </c>
      <c r="H78" s="76">
        <f>'A7-CFlow'!G20+'A7-CFlow'!G21-NERF!H71-NERF!H72-NERF!H74</f>
        <v>0</v>
      </c>
      <c r="I78" s="76">
        <f>'A7-CFlow'!H20+'A7-CFlow'!H21-NERF!I71-NERF!I72-NERF!I74</f>
        <v>0</v>
      </c>
      <c r="J78" s="76">
        <f>'A7-CFlow'!I20+'A7-CFlow'!I21-NERF!J71-NERF!J72-NERF!J74</f>
        <v>0</v>
      </c>
      <c r="K78" s="76">
        <f>'A7-CFlow'!J20+'A7-CFlow'!J21-NERF!K71-NERF!K72-NERF!K74</f>
        <v>0</v>
      </c>
      <c r="L78" s="76">
        <f>'A7-CFlow'!K20+'A7-CFlow'!K21-NERF!L71-NERF!L72-NERF!L74</f>
        <v>0</v>
      </c>
      <c r="M78" s="76">
        <f>'A7-CFlow'!L20+'A7-CFlow'!L21-NERF!M71-NERF!M72-NERF!M74</f>
        <v>0</v>
      </c>
    </row>
    <row r="79" spans="1:13" x14ac:dyDescent="0.2">
      <c r="D79" s="13"/>
      <c r="E79" s="13"/>
      <c r="F79" s="13"/>
      <c r="G79" s="13"/>
      <c r="H79" s="13"/>
      <c r="I79" s="13"/>
      <c r="J79" s="13"/>
      <c r="K79" s="13"/>
      <c r="L79" s="13"/>
      <c r="M79" s="13"/>
    </row>
    <row r="80" spans="1:13" x14ac:dyDescent="0.2">
      <c r="A80" s="2" t="s">
        <v>1446</v>
      </c>
      <c r="D80" s="76" t="e">
        <f>D58+'A7-CFlow'!C44</f>
        <v>#REF!</v>
      </c>
      <c r="E80" s="76" t="e">
        <f>E58+'A7-CFlow'!D44</f>
        <v>#REF!</v>
      </c>
      <c r="F80" s="76" t="e">
        <f>F58+'A7-CFlow'!E44</f>
        <v>#REF!</v>
      </c>
      <c r="G80" s="76" t="e">
        <f>G58+'A7-CFlow'!F44</f>
        <v>#REF!</v>
      </c>
      <c r="H80" s="76" t="e">
        <f>H58+'A7-CFlow'!G44</f>
        <v>#REF!</v>
      </c>
      <c r="I80" s="76" t="e">
        <f>I58+'A7-CFlow'!H44</f>
        <v>#REF!</v>
      </c>
      <c r="J80" s="76" t="e">
        <f>J58+'A7-CFlow'!I44</f>
        <v>#REF!</v>
      </c>
      <c r="K80" s="76" t="e">
        <f>K58+'A7-CFlow'!J44</f>
        <v>#REF!</v>
      </c>
      <c r="L80" s="76" t="e">
        <f>L58+'A7-CFlow'!K44</f>
        <v>#REF!</v>
      </c>
      <c r="M80" s="76" t="e">
        <f>M58+'A7-CFlow'!L44</f>
        <v>#REF!</v>
      </c>
    </row>
    <row r="81" spans="1:13" x14ac:dyDescent="0.2">
      <c r="D81" s="13"/>
      <c r="E81" s="13"/>
      <c r="F81" s="13"/>
      <c r="G81" s="13"/>
      <c r="H81" s="13"/>
      <c r="I81" s="13"/>
      <c r="J81" s="13"/>
      <c r="K81" s="13"/>
      <c r="L81" s="13"/>
      <c r="M81" s="13"/>
    </row>
    <row r="82" spans="1:13" x14ac:dyDescent="0.2">
      <c r="A82" s="2" t="s">
        <v>1448</v>
      </c>
      <c r="D82" s="14"/>
      <c r="E82" s="14"/>
      <c r="F82" s="14"/>
      <c r="G82" s="14"/>
      <c r="H82" s="14"/>
      <c r="I82" s="14"/>
      <c r="J82" s="14"/>
      <c r="K82" s="14"/>
      <c r="L82" s="14"/>
      <c r="M82" s="14"/>
    </row>
    <row r="83" spans="1:13" x14ac:dyDescent="0.2">
      <c r="D83" s="123"/>
      <c r="E83" s="123"/>
      <c r="F83" s="123"/>
      <c r="G83" s="123"/>
      <c r="H83" s="123"/>
      <c r="I83" s="123"/>
      <c r="J83" s="123"/>
      <c r="K83" s="123"/>
      <c r="L83" s="123"/>
      <c r="M83" s="123"/>
    </row>
  </sheetData>
  <sheetProtection selectLockedCells="1"/>
  <mergeCells count="5">
    <mergeCell ref="A1:M1"/>
    <mergeCell ref="A3:A5"/>
    <mergeCell ref="B3:B4"/>
    <mergeCell ref="G3:I3"/>
    <mergeCell ref="K3:M3"/>
  </mergeCells>
  <phoneticPr fontId="4" type="noConversion"/>
  <printOptions horizontalCentered="1"/>
  <pageMargins left="0.35433070866141736" right="0.23622047244094491" top="0.78740157480314965" bottom="0.59055118110236227" header="0.51181102362204722" footer="0.39370078740157483"/>
  <pageSetup paperSize="9" scale="75"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tabColor indexed="45"/>
  </sheetPr>
  <dimension ref="A1:H37"/>
  <sheetViews>
    <sheetView workbookViewId="0">
      <pane xSplit="1" ySplit="3" topLeftCell="B4" activePane="bottomRight" state="frozen"/>
      <selection pane="topRight"/>
      <selection pane="bottomLeft"/>
      <selection pane="bottomRight"/>
    </sheetView>
  </sheetViews>
  <sheetFormatPr defaultRowHeight="11.25" x14ac:dyDescent="0.2"/>
  <cols>
    <col min="1" max="1" width="20.7109375" style="2" customWidth="1"/>
    <col min="2" max="2" width="33.5703125" style="2" bestFit="1" customWidth="1"/>
    <col min="3" max="3" width="33.5703125" style="2" customWidth="1"/>
    <col min="4" max="4" width="23.42578125" style="2" bestFit="1" customWidth="1"/>
    <col min="5" max="5" width="33.140625" style="2" bestFit="1" customWidth="1"/>
    <col min="6" max="6" width="29" style="2" bestFit="1" customWidth="1"/>
    <col min="7" max="7" width="38" style="2" bestFit="1" customWidth="1"/>
    <col min="8" max="8" width="16" style="2" bestFit="1" customWidth="1"/>
    <col min="9" max="16384" width="9.140625" style="2"/>
  </cols>
  <sheetData>
    <row r="1" spans="1:8" ht="12.75" x14ac:dyDescent="0.2">
      <c r="A1" s="952" t="s">
        <v>1844</v>
      </c>
    </row>
    <row r="2" spans="1:8" s="130" customFormat="1" ht="22.5" x14ac:dyDescent="0.2">
      <c r="A2" s="131" t="s">
        <v>1726</v>
      </c>
      <c r="B2" s="2787" t="str">
        <f>'A4-FinPerf RE'!A4</f>
        <v>Revenue By Source</v>
      </c>
      <c r="C2" s="2788"/>
      <c r="D2" s="2787" t="str">
        <f>'A4-FinPerf RE'!A24</f>
        <v>Expenditure By Type</v>
      </c>
      <c r="E2" s="2788"/>
      <c r="F2" s="131" t="s">
        <v>1675</v>
      </c>
      <c r="G2" s="131" t="s">
        <v>1469</v>
      </c>
      <c r="H2" s="131" t="s">
        <v>1470</v>
      </c>
    </row>
    <row r="3" spans="1:8" s="130" customFormat="1" x14ac:dyDescent="0.2">
      <c r="A3" s="133"/>
      <c r="B3" s="131" t="s">
        <v>1270</v>
      </c>
      <c r="C3" s="135" t="s">
        <v>1471</v>
      </c>
      <c r="D3" s="135" t="str">
        <f>B3</f>
        <v>Top level</v>
      </c>
      <c r="E3" s="135" t="str">
        <f>C3</f>
        <v>Supporting table level</v>
      </c>
      <c r="F3" s="135"/>
      <c r="G3" s="135"/>
      <c r="H3" s="134"/>
    </row>
    <row r="4" spans="1:8" x14ac:dyDescent="0.2">
      <c r="A4" s="2" t="str">
        <f>'A2-FinPerf SC'!A5</f>
        <v>Governance and administration</v>
      </c>
      <c r="B4" s="2" t="str">
        <f>'A4-FinPerf RE'!A5</f>
        <v>Property rates</v>
      </c>
      <c r="D4" s="2" t="str">
        <f>'A4-FinPerf RE'!A25</f>
        <v>Employee related costs</v>
      </c>
      <c r="E4" s="2" t="str">
        <f>'SA1'!A49</f>
        <v>Basic Salaries and Wages</v>
      </c>
      <c r="F4" s="3" t="str">
        <f>'A6-FinPos'!A4</f>
        <v>ASSETS</v>
      </c>
      <c r="G4" s="3" t="str">
        <f>'A7-CFlow'!A4</f>
        <v>CASH FLOW FROM OPERATING ACTIVITIES</v>
      </c>
      <c r="H4" s="2" t="str">
        <f>'A9-Asset'!A11</f>
        <v>Infrastructure</v>
      </c>
    </row>
    <row r="5" spans="1:8" x14ac:dyDescent="0.2">
      <c r="A5" s="2" t="str">
        <f>'A2-FinPerf SC'!A6</f>
        <v>Executive and council</v>
      </c>
      <c r="B5" s="2" t="str">
        <f>'A4-FinPerf RE'!A6</f>
        <v>Property rates - penalties &amp; collection charges</v>
      </c>
      <c r="E5" s="2" t="str">
        <f>'SA1'!A50</f>
        <v>Pension and UIF Contributions</v>
      </c>
      <c r="F5" s="132" t="str">
        <f>'A6-FinPos'!A5</f>
        <v>Current assets</v>
      </c>
      <c r="G5" s="132" t="str">
        <f>'A7-CFlow'!A5</f>
        <v>Receipts</v>
      </c>
      <c r="H5" s="2" t="str">
        <f>'A9-Asset'!A12</f>
        <v>Community</v>
      </c>
    </row>
    <row r="6" spans="1:8" x14ac:dyDescent="0.2">
      <c r="A6" s="2" t="str">
        <f>'A2-FinPerf SC'!A7</f>
        <v>Budget and treasury office</v>
      </c>
      <c r="B6" s="2" t="str">
        <f>'A4-FinPerf RE'!A7</f>
        <v>Service charges - electricity revenue</v>
      </c>
      <c r="E6" s="2" t="str">
        <f>'SA1'!A51</f>
        <v>Medical Aid Contributions</v>
      </c>
      <c r="F6" s="2" t="str">
        <f>'A6-FinPos'!A6</f>
        <v>Cash</v>
      </c>
      <c r="G6" s="2" t="str">
        <f>'A7-CFlow'!A6</f>
        <v>Ratepayers and other</v>
      </c>
      <c r="H6" s="2" t="str">
        <f>'A9-Asset'!A13</f>
        <v>Heritage assets</v>
      </c>
    </row>
    <row r="7" spans="1:8" x14ac:dyDescent="0.2">
      <c r="A7" s="2" t="str">
        <f>'A2-FinPerf SC'!A8</f>
        <v>Corporate services</v>
      </c>
      <c r="B7" s="2" t="str">
        <f>'A4-FinPerf RE'!A8</f>
        <v>Service charges - water revenue</v>
      </c>
      <c r="E7" s="2" t="str">
        <f>'SA1'!A56</f>
        <v>Housing Allowances</v>
      </c>
      <c r="F7" s="2" t="str">
        <f>'A6-FinPos'!A7</f>
        <v>Call investment deposits</v>
      </c>
      <c r="G7" s="2" t="str">
        <f>'A7-CFlow'!A7</f>
        <v>Government - operating</v>
      </c>
      <c r="H7" s="2" t="str">
        <f>'A9-Asset'!A14</f>
        <v>Investment properties</v>
      </c>
    </row>
    <row r="8" spans="1:8" x14ac:dyDescent="0.2">
      <c r="A8" s="2" t="str">
        <f>'A2-FinPerf SC'!A9</f>
        <v>Community and public safety</v>
      </c>
      <c r="B8" s="2" t="str">
        <f>'A4-FinPerf RE'!A9</f>
        <v>Service charges - sanitation revenue</v>
      </c>
      <c r="E8" s="2" t="str">
        <f>'SA1'!A57</f>
        <v>Other benefits and allowances</v>
      </c>
      <c r="F8" s="2" t="str">
        <f>'A6-FinPos'!A8</f>
        <v>Consumer debtors</v>
      </c>
      <c r="G8" s="2" t="str">
        <f>'A7-CFlow'!A8</f>
        <v>Government - capital</v>
      </c>
      <c r="H8" s="2" t="str">
        <f>'A9-Asset'!A15</f>
        <v>Other assets</v>
      </c>
    </row>
    <row r="9" spans="1:8" x14ac:dyDescent="0.2">
      <c r="A9" s="2" t="str">
        <f>'A2-FinPerf SC'!A10</f>
        <v>Community and social services</v>
      </c>
      <c r="B9" s="2" t="str">
        <f>'A4-FinPerf RE'!A10</f>
        <v>Service charges - refuse revenue</v>
      </c>
      <c r="C9" s="2" t="str">
        <f>'SA1'!A27</f>
        <v>Total refuse removal revenue</v>
      </c>
      <c r="E9" s="2" t="str">
        <f>'SA1'!A58</f>
        <v>Payments in lieu of leave</v>
      </c>
      <c r="F9" s="2" t="str">
        <f>'A6-FinPos'!A9</f>
        <v>Other debtors</v>
      </c>
      <c r="G9" s="2" t="str">
        <f>'A7-CFlow'!A9</f>
        <v>Interest</v>
      </c>
      <c r="H9" s="2" t="str">
        <f>'A9-Asset'!A18</f>
        <v>Intangibles</v>
      </c>
    </row>
    <row r="10" spans="1:8" x14ac:dyDescent="0.2">
      <c r="A10" s="2" t="str">
        <f>'A2-FinPerf SC'!A11</f>
        <v>Sport and recreation</v>
      </c>
      <c r="C10" s="2" t="e">
        <f>'SA1'!#REF!</f>
        <v>#REF!</v>
      </c>
      <c r="E10" s="2" t="str">
        <f>'SA1'!A59</f>
        <v>Long service awards</v>
      </c>
      <c r="F10" s="2" t="str">
        <f>'A6-FinPos'!A10</f>
        <v>Current portion of long-term receivables</v>
      </c>
      <c r="G10" s="2" t="str">
        <f>'A7-CFlow'!A10</f>
        <v>Dividends</v>
      </c>
      <c r="H10" s="2" t="str">
        <f>'A9-Asset'!A17</f>
        <v>Biological assets</v>
      </c>
    </row>
    <row r="11" spans="1:8" x14ac:dyDescent="0.2">
      <c r="A11" s="2" t="str">
        <f>'A2-FinPerf SC'!A12</f>
        <v>Public safety</v>
      </c>
      <c r="B11" s="2" t="str">
        <f>'A4-FinPerf RE'!A11</f>
        <v>Service charges - other</v>
      </c>
      <c r="E11" s="2" t="str">
        <f>'SA1'!A60</f>
        <v>Post-retirement benefit obligations</v>
      </c>
      <c r="F11" s="2" t="str">
        <f>'A6-FinPos'!A11</f>
        <v>Inventory</v>
      </c>
      <c r="G11" s="132" t="str">
        <f>'A7-CFlow'!A11</f>
        <v>Payments</v>
      </c>
    </row>
    <row r="12" spans="1:8" x14ac:dyDescent="0.2">
      <c r="A12" s="2" t="str">
        <f>'A2-FinPerf SC'!A13</f>
        <v>Housing</v>
      </c>
      <c r="B12" s="2" t="str">
        <f>'A4-FinPerf RE'!A12</f>
        <v>Rental of facilities and equipment</v>
      </c>
      <c r="E12" s="2" t="str">
        <f>'SA1'!A62</f>
        <v>Less: Employees costs capitalised to PPE</v>
      </c>
      <c r="F12" s="132" t="str">
        <f>'A6-FinPos'!A14</f>
        <v>Non current assets</v>
      </c>
      <c r="G12" s="2" t="str">
        <f>'A7-CFlow'!A12</f>
        <v>Suppliers and employees</v>
      </c>
    </row>
    <row r="13" spans="1:8" x14ac:dyDescent="0.2">
      <c r="A13" s="2" t="str">
        <f>'A2-FinPerf SC'!A14</f>
        <v>Health</v>
      </c>
      <c r="B13" s="2" t="str">
        <f>'A4-FinPerf RE'!A13</f>
        <v>Interest earned - external investments</v>
      </c>
      <c r="D13" s="2" t="str">
        <f>'A4-FinPerf RE'!A26</f>
        <v>Remuneration of councillors</v>
      </c>
      <c r="F13" s="2" t="str">
        <f>'A6-FinPos'!A15</f>
        <v>Long-term receivables</v>
      </c>
      <c r="G13" s="2" t="str">
        <f>'A7-CFlow'!A13</f>
        <v>Finance charges</v>
      </c>
    </row>
    <row r="14" spans="1:8" x14ac:dyDescent="0.2">
      <c r="A14" s="2" t="str">
        <f>'A2-FinPerf SC'!A20</f>
        <v>Electricity</v>
      </c>
      <c r="B14" s="2" t="str">
        <f>'A4-FinPerf RE'!A14</f>
        <v>Interest earned - outstanding debtors</v>
      </c>
      <c r="D14" s="2" t="str">
        <f>'A4-FinPerf RE'!A27</f>
        <v>Debt impairment</v>
      </c>
      <c r="F14" s="2" t="str">
        <f>'A6-FinPos'!A16</f>
        <v>Investments</v>
      </c>
      <c r="G14" s="2" t="str">
        <f>'A7-CFlow'!A14</f>
        <v>Transfers and Grants</v>
      </c>
    </row>
    <row r="15" spans="1:8" x14ac:dyDescent="0.2">
      <c r="A15" s="2" t="str">
        <f>'A2-FinPerf SC'!A21</f>
        <v>Water</v>
      </c>
      <c r="B15" s="2" t="str">
        <f>'A4-FinPerf RE'!A15</f>
        <v>Dividends received</v>
      </c>
      <c r="D15" s="2" t="str">
        <f>'A4-FinPerf RE'!A15</f>
        <v>Dividends received</v>
      </c>
      <c r="F15" s="2" t="str">
        <f>'A6-FinPos'!A17</f>
        <v>Investment property</v>
      </c>
      <c r="G15" s="3" t="str">
        <f>'A7-CFlow'!A17</f>
        <v>CASH FLOWS FROM INVESTING ACTIVITIES</v>
      </c>
    </row>
    <row r="16" spans="1:8" x14ac:dyDescent="0.2">
      <c r="A16" s="2" t="str">
        <f>'A2-FinPerf SC'!A22</f>
        <v>Waste water management</v>
      </c>
      <c r="B16" s="2" t="str">
        <f>'A4-FinPerf RE'!A16</f>
        <v>Fines</v>
      </c>
      <c r="D16" s="2" t="str">
        <f>'A4-FinPerf RE'!A28</f>
        <v>Depreciation &amp; asset impairment</v>
      </c>
      <c r="E16" s="2" t="str">
        <f>'SA1'!A75</f>
        <v>Depreciation of Property, Plant &amp; Equipment</v>
      </c>
      <c r="F16" s="2" t="str">
        <f>'A6-FinPos'!A18</f>
        <v>Investment in Associate</v>
      </c>
      <c r="G16" s="132" t="str">
        <f>'A7-CFlow'!A18</f>
        <v>Receipts</v>
      </c>
    </row>
    <row r="17" spans="1:7" x14ac:dyDescent="0.2">
      <c r="A17" s="2" t="str">
        <f>'A2-FinPerf SC'!A23</f>
        <v>Waste management</v>
      </c>
      <c r="B17" s="2" t="str">
        <f>'A4-FinPerf RE'!A17</f>
        <v>Licences and permits</v>
      </c>
      <c r="E17" s="2" t="str">
        <f>'SA1'!A77</f>
        <v>Capital asset impairment</v>
      </c>
      <c r="F17" s="2" t="str">
        <f>'A6-FinPos'!A19</f>
        <v>Property, plant and equipment</v>
      </c>
      <c r="G17" s="2" t="str">
        <f>'A7-CFlow'!A19</f>
        <v>Proceeds on disposal of PPE</v>
      </c>
    </row>
    <row r="18" spans="1:7" x14ac:dyDescent="0.2">
      <c r="A18" s="2" t="str">
        <f>'A2-FinPerf SC'!A24</f>
        <v>Other</v>
      </c>
      <c r="B18" s="2" t="str">
        <f>'A4-FinPerf RE'!A18</f>
        <v>Agency services</v>
      </c>
      <c r="D18" s="2" t="str">
        <f>'A4-FinPerf RE'!A29</f>
        <v>Finance charges</v>
      </c>
      <c r="F18" s="2" t="str">
        <f>'A6-FinPos'!A21</f>
        <v>Biological</v>
      </c>
    </row>
    <row r="19" spans="1:7" x14ac:dyDescent="0.2">
      <c r="B19" s="2" t="str">
        <f>'A4-FinPerf RE'!A19</f>
        <v>Transfers recognised - operational</v>
      </c>
      <c r="D19" s="2" t="str">
        <f>'A4-FinPerf RE'!A30</f>
        <v>Bulk purchases</v>
      </c>
      <c r="E19" s="2" t="str">
        <f>'SA1'!A82</f>
        <v>Electricity Bulk Purchases</v>
      </c>
      <c r="F19" s="2" t="str">
        <f>'A6-FinPos'!A22</f>
        <v>Intangible</v>
      </c>
      <c r="G19" s="2" t="str">
        <f>'A7-CFlow'!A20</f>
        <v>Decrease (Increase) in non-current debtors</v>
      </c>
    </row>
    <row r="20" spans="1:7" x14ac:dyDescent="0.2">
      <c r="B20" s="2" t="str">
        <f>'A4-FinPerf RE'!A20</f>
        <v>Other revenue</v>
      </c>
      <c r="C20" s="2" t="str">
        <f>'SA1'!A33</f>
        <v>Sundry Income</v>
      </c>
      <c r="E20" s="2" t="str">
        <f>'SA1'!A83</f>
        <v>Water Bulk Purchases</v>
      </c>
      <c r="F20" s="2" t="str">
        <f>'A6-FinPos'!A23</f>
        <v>Other non-current assets</v>
      </c>
      <c r="G20" s="2" t="str">
        <f>'A7-CFlow'!A21</f>
        <v>Decrease (increase) other non-current receivables</v>
      </c>
    </row>
    <row r="21" spans="1:7" x14ac:dyDescent="0.2">
      <c r="C21" s="2" t="e">
        <f>'SA1'!#REF!</f>
        <v>#REF!</v>
      </c>
      <c r="D21" s="2" t="str">
        <f>'A4-FinPerf RE'!A31</f>
        <v>Other materials</v>
      </c>
      <c r="F21" s="3" t="str">
        <f>'A6-FinPos'!A27</f>
        <v>LIABILITIES</v>
      </c>
    </row>
    <row r="22" spans="1:7" x14ac:dyDescent="0.2">
      <c r="C22" s="2">
        <f>'SA1'!A44</f>
        <v>0</v>
      </c>
      <c r="D22" s="2" t="str">
        <f>'A4-FinPerf RE'!A32</f>
        <v>Contracted services</v>
      </c>
      <c r="E22" s="2" t="str">
        <f>'SA1'!A119</f>
        <v>Electricity</v>
      </c>
      <c r="F22" s="132" t="str">
        <f>'A6-FinPos'!A28</f>
        <v>Current liabilities</v>
      </c>
      <c r="G22" s="2" t="str">
        <f>'A7-CFlow'!A22</f>
        <v>Decrease (increase) in non-current investments</v>
      </c>
    </row>
    <row r="23" spans="1:7" x14ac:dyDescent="0.2">
      <c r="B23" s="2" t="str">
        <f>'A4-FinPerf RE'!A21</f>
        <v>Gains on disposal of PPE</v>
      </c>
      <c r="E23" s="2" t="str">
        <f>'SA1'!A120</f>
        <v>Water</v>
      </c>
      <c r="F23" s="2" t="str">
        <f>'A6-FinPos'!A29</f>
        <v>Bank overdraft</v>
      </c>
      <c r="G23" s="132" t="str">
        <f>'A7-CFlow'!A23</f>
        <v>Payments</v>
      </c>
    </row>
    <row r="24" spans="1:7" x14ac:dyDescent="0.2">
      <c r="B24" s="2" t="str">
        <f>'A4-FinPerf RE'!A39</f>
        <v>Transfers recognised - capital</v>
      </c>
      <c r="E24" s="2" t="str">
        <f>'SA1'!A121</f>
        <v>Sanitation</v>
      </c>
      <c r="F24" s="2" t="str">
        <f>'A6-FinPos'!A30</f>
        <v>Borrowing</v>
      </c>
      <c r="G24" s="1" t="str">
        <f>'A7-CFlow'!A24</f>
        <v>Capital assets</v>
      </c>
    </row>
    <row r="25" spans="1:7" x14ac:dyDescent="0.2">
      <c r="B25" s="2" t="str">
        <f>'A4-FinPerf RE'!A40</f>
        <v>Contributions recognised - capital</v>
      </c>
      <c r="E25" s="2" t="str">
        <f>'SA1'!A122</f>
        <v>Other</v>
      </c>
      <c r="F25" s="2" t="str">
        <f>'A6-FinPos'!A31</f>
        <v>Consumer deposits</v>
      </c>
      <c r="G25" s="3" t="str">
        <f>'A7-CFlow'!A27</f>
        <v>CASH FLOWS FROM FINANCING ACTIVITIES</v>
      </c>
    </row>
    <row r="26" spans="1:7" x14ac:dyDescent="0.2">
      <c r="B26" s="2" t="str">
        <f>'A4-FinPerf RE'!A41</f>
        <v>Contributed assets</v>
      </c>
      <c r="D26" s="2" t="str">
        <f>'A4-FinPerf RE'!A33</f>
        <v>Transfers and grants</v>
      </c>
      <c r="F26" s="2" t="str">
        <f>'A6-FinPos'!A32</f>
        <v>Trade and other payables</v>
      </c>
      <c r="G26" s="132" t="str">
        <f>'A7-CFlow'!A28</f>
        <v>Receipts</v>
      </c>
    </row>
    <row r="27" spans="1:7" x14ac:dyDescent="0.2">
      <c r="B27" s="2" t="str">
        <f>'A4-FinPerf RE'!A43</f>
        <v>Taxation</v>
      </c>
      <c r="D27" s="2" t="str">
        <f>'A4-FinPerf RE'!A34</f>
        <v>Other expenditure</v>
      </c>
      <c r="E27" s="2" t="str">
        <f>'SA1'!A126</f>
        <v>Collection costs</v>
      </c>
      <c r="F27" s="2" t="e">
        <f>'A6-FinPos'!#REF!</f>
        <v>#REF!</v>
      </c>
      <c r="G27" s="2" t="str">
        <f>'A7-CFlow'!A29</f>
        <v>Short term loans</v>
      </c>
    </row>
    <row r="28" spans="1:7" x14ac:dyDescent="0.2">
      <c r="B28" s="2" t="str">
        <f>'A4-FinPerf RE'!A45</f>
        <v>Attributable to minorities</v>
      </c>
      <c r="E28" s="2" t="str">
        <f>'SA1'!A127</f>
        <v>Contributions to 'other' provisions</v>
      </c>
      <c r="F28" s="2" t="str">
        <f>'A6-FinPos'!A33</f>
        <v>Provisions</v>
      </c>
      <c r="G28" s="2" t="str">
        <f>'A7-CFlow'!A30</f>
        <v>Borrowing long term/refinancing</v>
      </c>
    </row>
    <row r="29" spans="1:7" x14ac:dyDescent="0.2">
      <c r="E29" s="2" t="str">
        <f>'SA1'!A128</f>
        <v>Consultant fees</v>
      </c>
      <c r="F29" s="132" t="str">
        <f>'A6-FinPos'!A36</f>
        <v>Non current liabilities</v>
      </c>
      <c r="G29" s="2" t="str">
        <f>'A7-CFlow'!A31</f>
        <v>Increase (decrease) in consumer deposits</v>
      </c>
    </row>
    <row r="30" spans="1:7" x14ac:dyDescent="0.2">
      <c r="E30" s="2" t="str">
        <f>'SA1'!A129</f>
        <v>Audit fees</v>
      </c>
      <c r="F30" s="2" t="str">
        <f>'A6-FinPos'!A37</f>
        <v>Borrowing</v>
      </c>
      <c r="G30" s="132" t="str">
        <f>'A7-CFlow'!A32</f>
        <v>Payments</v>
      </c>
    </row>
    <row r="31" spans="1:7" x14ac:dyDescent="0.2">
      <c r="E31" s="2" t="str">
        <f>'SA1'!A130</f>
        <v>General expenses</v>
      </c>
      <c r="F31" s="2" t="str">
        <f>'A6-FinPos'!A38</f>
        <v>Provisions</v>
      </c>
      <c r="G31" s="2" t="str">
        <f>'A7-CFlow'!A33</f>
        <v>Repayment of borrowing</v>
      </c>
    </row>
    <row r="32" spans="1:7" x14ac:dyDescent="0.2">
      <c r="D32" s="2" t="str">
        <f>'A4-FinPerf RE'!A35</f>
        <v>Loss on disposal of PPE</v>
      </c>
      <c r="F32" s="3" t="str">
        <f>'A6-FinPos'!A39</f>
        <v>Total non current liabilities</v>
      </c>
      <c r="G32" s="132" t="str">
        <f>'A7-CFlow'!A37</f>
        <v>Cash/cash equivalents at the year begin:</v>
      </c>
    </row>
    <row r="33" spans="6:7" x14ac:dyDescent="0.2">
      <c r="F33" s="3" t="str">
        <f>'A6-FinPos'!A42</f>
        <v>NET ASSETS</v>
      </c>
      <c r="G33" s="132" t="str">
        <f>'A7-CFlow'!A38</f>
        <v>Cash/cash equivalents at the year end:</v>
      </c>
    </row>
    <row r="34" spans="6:7" x14ac:dyDescent="0.2">
      <c r="F34" s="3" t="str">
        <f>'A6-FinPos'!A44</f>
        <v>COMMUNITY WEALTH/EQUITY</v>
      </c>
    </row>
    <row r="35" spans="6:7" x14ac:dyDescent="0.2">
      <c r="F35" s="2" t="str">
        <f>'A6-FinPos'!A45</f>
        <v>Accumulated Surplus/(Deficit)</v>
      </c>
    </row>
    <row r="36" spans="6:7" x14ac:dyDescent="0.2">
      <c r="F36" s="2" t="str">
        <f>'A6-FinPos'!A46</f>
        <v>Reserves</v>
      </c>
    </row>
    <row r="37" spans="6:7" x14ac:dyDescent="0.2">
      <c r="F37" s="2" t="str">
        <f>'A6-FinPos'!A47</f>
        <v>Minorities' interests</v>
      </c>
    </row>
  </sheetData>
  <sheetProtection selectLockedCells="1"/>
  <mergeCells count="2">
    <mergeCell ref="B2:C2"/>
    <mergeCell ref="D2:E2"/>
  </mergeCells>
  <phoneticPr fontId="4" type="noConversion"/>
  <pageMargins left="0.75" right="0.75" top="1" bottom="1" header="0.5" footer="0.5"/>
  <pageSetup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0"/>
    <pageSetUpPr fitToPage="1"/>
  </sheetPr>
  <dimension ref="A1:L79"/>
  <sheetViews>
    <sheetView workbookViewId="0"/>
  </sheetViews>
  <sheetFormatPr defaultRowHeight="12.75" x14ac:dyDescent="0.2"/>
  <sheetData>
    <row r="1" spans="1:12" x14ac:dyDescent="0.2">
      <c r="A1" s="952" t="s">
        <v>1843</v>
      </c>
    </row>
    <row r="2" spans="1:12" x14ac:dyDescent="0.2">
      <c r="A2" s="2789" t="s">
        <v>1731</v>
      </c>
      <c r="B2" s="2790"/>
      <c r="C2" s="2790"/>
      <c r="D2" s="2790"/>
      <c r="E2" s="2790"/>
      <c r="F2" s="2790"/>
      <c r="G2" s="2790"/>
      <c r="H2" s="2790"/>
      <c r="I2" s="2790"/>
      <c r="J2" s="2791"/>
      <c r="K2" s="2"/>
      <c r="L2" s="2"/>
    </row>
    <row r="3" spans="1:12" x14ac:dyDescent="0.2">
      <c r="A3" s="41" t="s">
        <v>1679</v>
      </c>
      <c r="B3" s="49"/>
      <c r="C3" s="49"/>
      <c r="D3" s="49"/>
      <c r="E3" s="42"/>
      <c r="F3" s="42"/>
      <c r="G3" s="42"/>
      <c r="H3" s="42"/>
      <c r="I3" s="42"/>
      <c r="J3" s="43"/>
      <c r="K3" s="2"/>
      <c r="L3" s="2"/>
    </row>
    <row r="4" spans="1:12" x14ac:dyDescent="0.2">
      <c r="A4" s="44" t="s">
        <v>677</v>
      </c>
      <c r="B4" s="50"/>
      <c r="C4" s="50"/>
      <c r="D4" s="50"/>
      <c r="E4" s="45"/>
      <c r="F4" s="45"/>
      <c r="G4" s="45"/>
      <c r="H4" s="45"/>
      <c r="I4" s="45"/>
      <c r="J4" s="46"/>
      <c r="K4" s="2"/>
      <c r="L4" s="2"/>
    </row>
    <row r="5" spans="1:12" x14ac:dyDescent="0.2">
      <c r="A5" s="44" t="s">
        <v>1733</v>
      </c>
      <c r="B5" s="50"/>
      <c r="C5" s="50"/>
      <c r="D5" s="50"/>
      <c r="E5" s="45"/>
      <c r="F5" s="45"/>
      <c r="G5" s="45"/>
      <c r="H5" s="45"/>
      <c r="I5" s="45"/>
      <c r="J5" s="46"/>
      <c r="K5" s="2"/>
      <c r="L5" s="2"/>
    </row>
    <row r="6" spans="1:12" x14ac:dyDescent="0.2">
      <c r="A6" s="44" t="s">
        <v>1732</v>
      </c>
      <c r="B6" s="50"/>
      <c r="C6" s="50"/>
      <c r="D6" s="50"/>
      <c r="E6" s="45"/>
      <c r="F6" s="45"/>
      <c r="G6" s="45"/>
      <c r="H6" s="45"/>
      <c r="I6" s="45"/>
      <c r="J6" s="46"/>
      <c r="K6" s="2"/>
      <c r="L6" s="2"/>
    </row>
    <row r="7" spans="1:12" x14ac:dyDescent="0.2">
      <c r="A7" s="44" t="s">
        <v>1687</v>
      </c>
      <c r="B7" s="50"/>
      <c r="C7" s="50"/>
      <c r="D7" s="50"/>
      <c r="E7" s="45"/>
      <c r="F7" s="45"/>
      <c r="G7" s="45"/>
      <c r="H7" s="45"/>
      <c r="I7" s="45"/>
      <c r="J7" s="46"/>
      <c r="K7" s="2"/>
      <c r="L7" s="2"/>
    </row>
    <row r="8" spans="1:12" x14ac:dyDescent="0.2">
      <c r="A8" s="2789" t="s">
        <v>1680</v>
      </c>
      <c r="B8" s="2790"/>
      <c r="C8" s="2790"/>
      <c r="D8" s="2790"/>
      <c r="E8" s="2790"/>
      <c r="F8" s="2790"/>
      <c r="G8" s="2790"/>
      <c r="H8" s="2790"/>
      <c r="I8" s="2790"/>
      <c r="J8" s="2791"/>
      <c r="K8" s="2"/>
      <c r="L8" s="2"/>
    </row>
    <row r="9" spans="1:12" x14ac:dyDescent="0.2">
      <c r="A9" s="47" t="s">
        <v>1681</v>
      </c>
      <c r="B9" s="40" t="s">
        <v>1698</v>
      </c>
      <c r="C9" s="40" t="s">
        <v>1699</v>
      </c>
      <c r="D9" s="40" t="s">
        <v>1700</v>
      </c>
      <c r="E9" s="2792" t="s">
        <v>1682</v>
      </c>
      <c r="F9" s="2793"/>
      <c r="G9" s="2793"/>
      <c r="H9" s="2794"/>
      <c r="I9" s="48" t="s">
        <v>1683</v>
      </c>
      <c r="J9" s="48" t="s">
        <v>1535</v>
      </c>
      <c r="K9" s="48" t="s">
        <v>1723</v>
      </c>
      <c r="L9" s="48" t="s">
        <v>1724</v>
      </c>
    </row>
    <row r="10" spans="1:12" x14ac:dyDescent="0.2">
      <c r="A10" s="21">
        <v>3</v>
      </c>
      <c r="B10" s="21" t="s">
        <v>1684</v>
      </c>
      <c r="C10" s="21" t="s">
        <v>1684</v>
      </c>
      <c r="D10" s="21" t="s">
        <v>1684</v>
      </c>
      <c r="E10" s="10" t="str">
        <f t="shared" ref="E10:E19" si="0">IF(A10=3,"Fully completed",IF(A10=2,"Substantially completed with missing information",IF(A10=1,"Presented but with numerous information gaps",IF(A10=0,"Not presented","error"))))</f>
        <v>Fully completed</v>
      </c>
      <c r="F10" s="6"/>
      <c r="G10" s="6"/>
      <c r="H10" s="18"/>
      <c r="I10" s="52">
        <v>0.01</v>
      </c>
      <c r="J10" s="64">
        <f t="shared" ref="J10:J19" si="1">ROUND(((A10*I10)*100)/Scale,2)</f>
        <v>0.98</v>
      </c>
      <c r="K10" s="4">
        <v>3</v>
      </c>
      <c r="L10" s="60">
        <f t="shared" ref="L10:L19" si="2">ROUND((K10*I10)*100,0)</f>
        <v>3</v>
      </c>
    </row>
    <row r="11" spans="1:12" x14ac:dyDescent="0.2">
      <c r="A11" s="4">
        <v>3</v>
      </c>
      <c r="B11" s="4" t="s">
        <v>1684</v>
      </c>
      <c r="C11" s="4" t="s">
        <v>1684</v>
      </c>
      <c r="D11" s="4" t="s">
        <v>1684</v>
      </c>
      <c r="E11" s="10" t="str">
        <f t="shared" si="0"/>
        <v>Fully completed</v>
      </c>
      <c r="F11" s="6"/>
      <c r="G11" s="6"/>
      <c r="H11" s="18"/>
      <c r="I11" s="52">
        <v>0.06</v>
      </c>
      <c r="J11" s="64">
        <f t="shared" si="1"/>
        <v>5.9</v>
      </c>
      <c r="K11" s="4">
        <v>3</v>
      </c>
      <c r="L11" s="60">
        <f t="shared" si="2"/>
        <v>18</v>
      </c>
    </row>
    <row r="12" spans="1:12" x14ac:dyDescent="0.2">
      <c r="A12" s="4">
        <v>3</v>
      </c>
      <c r="B12" s="4" t="s">
        <v>1684</v>
      </c>
      <c r="C12" s="4" t="s">
        <v>1684</v>
      </c>
      <c r="D12" s="4" t="s">
        <v>1684</v>
      </c>
      <c r="E12" s="10" t="str">
        <f t="shared" si="0"/>
        <v>Fully completed</v>
      </c>
      <c r="F12" s="6"/>
      <c r="G12" s="6"/>
      <c r="H12" s="18"/>
      <c r="I12" s="52">
        <v>0.03</v>
      </c>
      <c r="J12" s="64">
        <f t="shared" si="1"/>
        <v>2.95</v>
      </c>
      <c r="K12" s="4">
        <v>3</v>
      </c>
      <c r="L12" s="60">
        <f t="shared" si="2"/>
        <v>9</v>
      </c>
    </row>
    <row r="13" spans="1:12" x14ac:dyDescent="0.2">
      <c r="A13" s="4">
        <v>3</v>
      </c>
      <c r="B13" s="4" t="s">
        <v>1684</v>
      </c>
      <c r="C13" s="4" t="s">
        <v>1684</v>
      </c>
      <c r="D13" s="4" t="s">
        <v>1684</v>
      </c>
      <c r="E13" s="10" t="str">
        <f t="shared" si="0"/>
        <v>Fully completed</v>
      </c>
      <c r="F13" s="6"/>
      <c r="G13" s="6"/>
      <c r="H13" s="18"/>
      <c r="I13" s="52">
        <v>0.04</v>
      </c>
      <c r="J13" s="64">
        <f t="shared" si="1"/>
        <v>3.93</v>
      </c>
      <c r="K13" s="4">
        <v>3</v>
      </c>
      <c r="L13" s="60">
        <f t="shared" si="2"/>
        <v>12</v>
      </c>
    </row>
    <row r="14" spans="1:12" x14ac:dyDescent="0.2">
      <c r="A14" s="4">
        <v>3</v>
      </c>
      <c r="B14" s="4" t="s">
        <v>1684</v>
      </c>
      <c r="C14" s="4" t="s">
        <v>1684</v>
      </c>
      <c r="D14" s="4" t="s">
        <v>1684</v>
      </c>
      <c r="E14" s="10" t="str">
        <f t="shared" si="0"/>
        <v>Fully completed</v>
      </c>
      <c r="F14" s="6"/>
      <c r="G14" s="6"/>
      <c r="H14" s="18"/>
      <c r="I14" s="52">
        <v>0.06</v>
      </c>
      <c r="J14" s="64">
        <f t="shared" si="1"/>
        <v>5.9</v>
      </c>
      <c r="K14" s="4">
        <v>3</v>
      </c>
      <c r="L14" s="60">
        <f t="shared" si="2"/>
        <v>18</v>
      </c>
    </row>
    <row r="15" spans="1:12" x14ac:dyDescent="0.2">
      <c r="A15" s="4">
        <v>3</v>
      </c>
      <c r="B15" s="4" t="s">
        <v>1684</v>
      </c>
      <c r="C15" s="4" t="s">
        <v>1684</v>
      </c>
      <c r="D15" s="4" t="s">
        <v>1684</v>
      </c>
      <c r="E15" s="10" t="str">
        <f t="shared" si="0"/>
        <v>Fully completed</v>
      </c>
      <c r="F15" s="6"/>
      <c r="G15" s="6"/>
      <c r="H15" s="18"/>
      <c r="I15" s="52">
        <v>0.03</v>
      </c>
      <c r="J15" s="64">
        <f t="shared" si="1"/>
        <v>2.95</v>
      </c>
      <c r="K15" s="4">
        <v>3</v>
      </c>
      <c r="L15" s="60">
        <f t="shared" si="2"/>
        <v>9</v>
      </c>
    </row>
    <row r="16" spans="1:12" x14ac:dyDescent="0.2">
      <c r="A16" s="4">
        <v>3</v>
      </c>
      <c r="B16" s="4" t="s">
        <v>1684</v>
      </c>
      <c r="C16" s="4" t="s">
        <v>1684</v>
      </c>
      <c r="D16" s="4" t="s">
        <v>1684</v>
      </c>
      <c r="E16" s="10" t="str">
        <f t="shared" si="0"/>
        <v>Fully completed</v>
      </c>
      <c r="F16" s="6"/>
      <c r="G16" s="6"/>
      <c r="H16" s="18"/>
      <c r="I16" s="52">
        <v>0.04</v>
      </c>
      <c r="J16" s="64">
        <f t="shared" si="1"/>
        <v>3.93</v>
      </c>
      <c r="K16" s="4">
        <v>3</v>
      </c>
      <c r="L16" s="60">
        <f t="shared" si="2"/>
        <v>12</v>
      </c>
    </row>
    <row r="17" spans="1:12" x14ac:dyDescent="0.2">
      <c r="A17" s="4">
        <v>2</v>
      </c>
      <c r="B17" s="4" t="s">
        <v>1684</v>
      </c>
      <c r="C17" s="4" t="s">
        <v>1684</v>
      </c>
      <c r="D17" s="4" t="s">
        <v>1684</v>
      </c>
      <c r="E17" s="10" t="str">
        <f t="shared" si="0"/>
        <v>Substantially completed with missing information</v>
      </c>
      <c r="F17" s="6"/>
      <c r="G17" s="6"/>
      <c r="H17" s="18"/>
      <c r="I17" s="52">
        <v>0.03</v>
      </c>
      <c r="J17" s="64">
        <f t="shared" si="1"/>
        <v>1.97</v>
      </c>
      <c r="K17" s="4">
        <v>3</v>
      </c>
      <c r="L17" s="60">
        <f t="shared" si="2"/>
        <v>9</v>
      </c>
    </row>
    <row r="18" spans="1:12" x14ac:dyDescent="0.2">
      <c r="A18" s="4">
        <v>2</v>
      </c>
      <c r="B18" s="4" t="s">
        <v>1685</v>
      </c>
      <c r="C18" s="4" t="s">
        <v>1685</v>
      </c>
      <c r="D18" s="24" t="s">
        <v>1684</v>
      </c>
      <c r="E18" s="10" t="str">
        <f t="shared" si="0"/>
        <v>Substantially completed with missing information</v>
      </c>
      <c r="F18" s="6"/>
      <c r="G18" s="6"/>
      <c r="H18" s="18"/>
      <c r="I18" s="52">
        <v>0.02</v>
      </c>
      <c r="J18" s="64">
        <f t="shared" si="1"/>
        <v>1.31</v>
      </c>
      <c r="K18" s="4">
        <v>3</v>
      </c>
      <c r="L18" s="60">
        <f t="shared" si="2"/>
        <v>6</v>
      </c>
    </row>
    <row r="19" spans="1:12" x14ac:dyDescent="0.2">
      <c r="A19" s="22">
        <v>1</v>
      </c>
      <c r="B19" s="22" t="s">
        <v>1685</v>
      </c>
      <c r="C19" s="25" t="s">
        <v>1684</v>
      </c>
      <c r="D19" s="25" t="s">
        <v>1684</v>
      </c>
      <c r="E19" s="11" t="str">
        <f t="shared" si="0"/>
        <v>Presented but with numerous information gaps</v>
      </c>
      <c r="F19" s="19"/>
      <c r="G19" s="19"/>
      <c r="H19" s="20"/>
      <c r="I19" s="53">
        <v>0.03</v>
      </c>
      <c r="J19" s="65">
        <f t="shared" si="1"/>
        <v>0.98</v>
      </c>
      <c r="K19" s="4">
        <v>3</v>
      </c>
      <c r="L19" s="60">
        <f t="shared" si="2"/>
        <v>9</v>
      </c>
    </row>
    <row r="20" spans="1:12" x14ac:dyDescent="0.2">
      <c r="A20" s="9"/>
      <c r="B20" s="9"/>
      <c r="C20" s="9"/>
      <c r="D20" s="9"/>
      <c r="E20" s="2"/>
      <c r="F20" s="2"/>
      <c r="G20" s="2"/>
      <c r="H20" s="51" t="s">
        <v>1686</v>
      </c>
      <c r="I20" s="7">
        <f>SUM(I10:I19)</f>
        <v>0.35</v>
      </c>
      <c r="J20" s="62">
        <f>SUM(J10:J19)</f>
        <v>30.8</v>
      </c>
      <c r="K20" s="12"/>
      <c r="L20" s="60"/>
    </row>
    <row r="21" spans="1:12" x14ac:dyDescent="0.2">
      <c r="A21" s="21">
        <v>3</v>
      </c>
      <c r="B21" s="21" t="s">
        <v>1684</v>
      </c>
      <c r="C21" s="23" t="s">
        <v>1684</v>
      </c>
      <c r="D21" s="23" t="s">
        <v>1684</v>
      </c>
      <c r="E21" s="54" t="str">
        <f t="shared" ref="E21:E35" si="3">IF(A21=3,"Fully completed",IF(A21=2,"Substantially completed with missing information",IF(A21=1,"Presented but with numerous information gaps",IF(A21=0,"Not presented","error"))))</f>
        <v>Fully completed</v>
      </c>
      <c r="F21" s="16"/>
      <c r="G21" s="16"/>
      <c r="H21" s="17"/>
      <c r="I21" s="55">
        <v>0.02</v>
      </c>
      <c r="J21" s="66">
        <f t="shared" ref="J21:J35" si="4">ROUND(((A21*I21)*100)/Scale,2)</f>
        <v>1.97</v>
      </c>
      <c r="K21" s="4">
        <v>3</v>
      </c>
      <c r="L21" s="60">
        <f t="shared" ref="L21:L35" si="5">ROUND((K21*I21)*100,0)</f>
        <v>6</v>
      </c>
    </row>
    <row r="22" spans="1:12" x14ac:dyDescent="0.2">
      <c r="A22" s="4">
        <v>1</v>
      </c>
      <c r="B22" s="4" t="s">
        <v>1685</v>
      </c>
      <c r="C22" s="4" t="s">
        <v>1685</v>
      </c>
      <c r="D22" s="24" t="s">
        <v>1684</v>
      </c>
      <c r="E22" s="10" t="str">
        <f t="shared" si="3"/>
        <v>Presented but with numerous information gaps</v>
      </c>
      <c r="F22" s="6"/>
      <c r="G22" s="6"/>
      <c r="H22" s="18"/>
      <c r="I22" s="52">
        <v>0.01</v>
      </c>
      <c r="J22" s="64">
        <f t="shared" si="4"/>
        <v>0.33</v>
      </c>
      <c r="K22" s="4">
        <v>3</v>
      </c>
      <c r="L22" s="60">
        <f t="shared" si="5"/>
        <v>3</v>
      </c>
    </row>
    <row r="23" spans="1:12" x14ac:dyDescent="0.2">
      <c r="A23" s="4">
        <v>3</v>
      </c>
      <c r="B23" s="4" t="s">
        <v>1684</v>
      </c>
      <c r="C23" s="4" t="s">
        <v>1684</v>
      </c>
      <c r="D23" s="24" t="s">
        <v>1684</v>
      </c>
      <c r="E23" s="10" t="str">
        <f t="shared" si="3"/>
        <v>Fully completed</v>
      </c>
      <c r="F23" s="6"/>
      <c r="G23" s="6"/>
      <c r="H23" s="18"/>
      <c r="I23" s="52">
        <v>0.02</v>
      </c>
      <c r="J23" s="64">
        <f t="shared" si="4"/>
        <v>1.97</v>
      </c>
      <c r="K23" s="4">
        <v>3</v>
      </c>
      <c r="L23" s="60">
        <f t="shared" si="5"/>
        <v>6</v>
      </c>
    </row>
    <row r="24" spans="1:12" x14ac:dyDescent="0.2">
      <c r="A24" s="4">
        <v>3</v>
      </c>
      <c r="B24" s="4" t="s">
        <v>1685</v>
      </c>
      <c r="C24" s="24" t="s">
        <v>1684</v>
      </c>
      <c r="D24" s="24" t="s">
        <v>1684</v>
      </c>
      <c r="E24" s="10" t="str">
        <f t="shared" si="3"/>
        <v>Fully completed</v>
      </c>
      <c r="F24" s="6"/>
      <c r="G24" s="6"/>
      <c r="H24" s="18"/>
      <c r="I24" s="52">
        <v>0.01</v>
      </c>
      <c r="J24" s="64">
        <f t="shared" si="4"/>
        <v>0.98</v>
      </c>
      <c r="K24" s="4">
        <v>3</v>
      </c>
      <c r="L24" s="60">
        <f t="shared" si="5"/>
        <v>3</v>
      </c>
    </row>
    <row r="25" spans="1:12" x14ac:dyDescent="0.2">
      <c r="A25" s="4">
        <v>3</v>
      </c>
      <c r="B25" s="4" t="s">
        <v>1685</v>
      </c>
      <c r="C25" s="24" t="s">
        <v>1684</v>
      </c>
      <c r="D25" s="24" t="s">
        <v>1684</v>
      </c>
      <c r="E25" s="10" t="str">
        <f t="shared" si="3"/>
        <v>Fully completed</v>
      </c>
      <c r="F25" s="6"/>
      <c r="G25" s="6"/>
      <c r="H25" s="18"/>
      <c r="I25" s="52">
        <v>0.01</v>
      </c>
      <c r="J25" s="64">
        <f t="shared" si="4"/>
        <v>0.98</v>
      </c>
      <c r="K25" s="4">
        <v>3</v>
      </c>
      <c r="L25" s="60">
        <f t="shared" si="5"/>
        <v>3</v>
      </c>
    </row>
    <row r="26" spans="1:12" x14ac:dyDescent="0.2">
      <c r="A26" s="4">
        <v>3</v>
      </c>
      <c r="B26" s="4" t="s">
        <v>1685</v>
      </c>
      <c r="C26" s="24" t="s">
        <v>1684</v>
      </c>
      <c r="D26" s="24" t="s">
        <v>1684</v>
      </c>
      <c r="E26" s="10" t="str">
        <f t="shared" si="3"/>
        <v>Fully completed</v>
      </c>
      <c r="F26" s="6"/>
      <c r="G26" s="6"/>
      <c r="H26" s="18"/>
      <c r="I26" s="52">
        <v>0.01</v>
      </c>
      <c r="J26" s="64">
        <f t="shared" si="4"/>
        <v>0.98</v>
      </c>
      <c r="K26" s="4">
        <v>3</v>
      </c>
      <c r="L26" s="60">
        <f t="shared" si="5"/>
        <v>3</v>
      </c>
    </row>
    <row r="27" spans="1:12" x14ac:dyDescent="0.2">
      <c r="A27" s="4">
        <v>0</v>
      </c>
      <c r="B27" s="4" t="s">
        <v>1685</v>
      </c>
      <c r="C27" s="24" t="s">
        <v>1684</v>
      </c>
      <c r="D27" s="24" t="s">
        <v>1684</v>
      </c>
      <c r="E27" s="10" t="str">
        <f t="shared" si="3"/>
        <v>Not presented</v>
      </c>
      <c r="F27" s="6"/>
      <c r="G27" s="6"/>
      <c r="H27" s="18"/>
      <c r="I27" s="52">
        <v>0.01</v>
      </c>
      <c r="J27" s="64">
        <f t="shared" si="4"/>
        <v>0</v>
      </c>
      <c r="K27" s="4">
        <v>3</v>
      </c>
      <c r="L27" s="60">
        <f t="shared" si="5"/>
        <v>3</v>
      </c>
    </row>
    <row r="28" spans="1:12" x14ac:dyDescent="0.2">
      <c r="A28" s="4">
        <v>2</v>
      </c>
      <c r="B28" s="4" t="s">
        <v>1684</v>
      </c>
      <c r="C28" s="4" t="s">
        <v>1684</v>
      </c>
      <c r="D28" s="4" t="s">
        <v>1684</v>
      </c>
      <c r="E28" s="10" t="str">
        <f t="shared" si="3"/>
        <v>Substantially completed with missing information</v>
      </c>
      <c r="F28" s="6"/>
      <c r="G28" s="6"/>
      <c r="H28" s="18"/>
      <c r="I28" s="52">
        <v>0.01</v>
      </c>
      <c r="J28" s="64">
        <f t="shared" si="4"/>
        <v>0.66</v>
      </c>
      <c r="K28" s="4">
        <v>3</v>
      </c>
      <c r="L28" s="60">
        <f t="shared" si="5"/>
        <v>3</v>
      </c>
    </row>
    <row r="29" spans="1:12" x14ac:dyDescent="0.2">
      <c r="A29" s="4">
        <v>3</v>
      </c>
      <c r="B29" s="4" t="s">
        <v>1685</v>
      </c>
      <c r="C29" s="24" t="s">
        <v>1685</v>
      </c>
      <c r="D29" s="4" t="s">
        <v>1684</v>
      </c>
      <c r="E29" s="10" t="str">
        <f t="shared" si="3"/>
        <v>Fully completed</v>
      </c>
      <c r="F29" s="6"/>
      <c r="G29" s="6"/>
      <c r="H29" s="18"/>
      <c r="I29" s="52">
        <v>0.01</v>
      </c>
      <c r="J29" s="64">
        <f t="shared" si="4"/>
        <v>0.98</v>
      </c>
      <c r="K29" s="4">
        <v>3</v>
      </c>
      <c r="L29" s="60">
        <f t="shared" si="5"/>
        <v>3</v>
      </c>
    </row>
    <row r="30" spans="1:12" x14ac:dyDescent="0.2">
      <c r="A30" s="4">
        <v>2</v>
      </c>
      <c r="B30" s="4" t="s">
        <v>1684</v>
      </c>
      <c r="C30" s="4" t="s">
        <v>1684</v>
      </c>
      <c r="D30" s="4" t="s">
        <v>1684</v>
      </c>
      <c r="E30" s="10" t="str">
        <f t="shared" si="3"/>
        <v>Substantially completed with missing information</v>
      </c>
      <c r="F30" s="6"/>
      <c r="G30" s="6"/>
      <c r="H30" s="18"/>
      <c r="I30" s="52">
        <v>0.03</v>
      </c>
      <c r="J30" s="64">
        <f t="shared" si="4"/>
        <v>1.97</v>
      </c>
      <c r="K30" s="4">
        <v>3</v>
      </c>
      <c r="L30" s="60">
        <f t="shared" si="5"/>
        <v>9</v>
      </c>
    </row>
    <row r="31" spans="1:12" x14ac:dyDescent="0.2">
      <c r="A31" s="4">
        <v>3</v>
      </c>
      <c r="B31" s="4" t="s">
        <v>1684</v>
      </c>
      <c r="C31" s="4" t="s">
        <v>1684</v>
      </c>
      <c r="D31" s="4" t="s">
        <v>1684</v>
      </c>
      <c r="E31" s="10" t="str">
        <f t="shared" si="3"/>
        <v>Fully completed</v>
      </c>
      <c r="F31" s="6"/>
      <c r="G31" s="6"/>
      <c r="H31" s="18"/>
      <c r="I31" s="52">
        <v>0.01</v>
      </c>
      <c r="J31" s="64">
        <f t="shared" si="4"/>
        <v>0.98</v>
      </c>
      <c r="K31" s="4">
        <v>3</v>
      </c>
      <c r="L31" s="60">
        <f t="shared" si="5"/>
        <v>3</v>
      </c>
    </row>
    <row r="32" spans="1:12" x14ac:dyDescent="0.2">
      <c r="A32" s="4">
        <v>3</v>
      </c>
      <c r="B32" s="4" t="s">
        <v>1684</v>
      </c>
      <c r="C32" s="4" t="s">
        <v>1684</v>
      </c>
      <c r="D32" s="4" t="s">
        <v>1684</v>
      </c>
      <c r="E32" s="10" t="str">
        <f t="shared" si="3"/>
        <v>Fully completed</v>
      </c>
      <c r="F32" s="6"/>
      <c r="G32" s="6"/>
      <c r="H32" s="18"/>
      <c r="I32" s="52">
        <v>0.01</v>
      </c>
      <c r="J32" s="64">
        <f t="shared" si="4"/>
        <v>0.98</v>
      </c>
      <c r="K32" s="4">
        <v>3</v>
      </c>
      <c r="L32" s="60">
        <f t="shared" si="5"/>
        <v>3</v>
      </c>
    </row>
    <row r="33" spans="1:12" x14ac:dyDescent="0.2">
      <c r="A33" s="4">
        <v>3</v>
      </c>
      <c r="B33" s="4" t="s">
        <v>1684</v>
      </c>
      <c r="C33" s="4" t="s">
        <v>1684</v>
      </c>
      <c r="D33" s="4" t="s">
        <v>1684</v>
      </c>
      <c r="E33" s="10" t="str">
        <f t="shared" si="3"/>
        <v>Fully completed</v>
      </c>
      <c r="F33" s="6"/>
      <c r="G33" s="6"/>
      <c r="H33" s="18"/>
      <c r="I33" s="52">
        <v>0.01</v>
      </c>
      <c r="J33" s="64">
        <f t="shared" si="4"/>
        <v>0.98</v>
      </c>
      <c r="K33" s="4">
        <v>3</v>
      </c>
      <c r="L33" s="60">
        <f t="shared" si="5"/>
        <v>3</v>
      </c>
    </row>
    <row r="34" spans="1:12" x14ac:dyDescent="0.2">
      <c r="A34" s="4">
        <v>0</v>
      </c>
      <c r="B34" s="4" t="s">
        <v>1684</v>
      </c>
      <c r="C34" s="4" t="s">
        <v>1684</v>
      </c>
      <c r="D34" s="4" t="s">
        <v>1684</v>
      </c>
      <c r="E34" s="10" t="str">
        <f t="shared" si="3"/>
        <v>Not presented</v>
      </c>
      <c r="F34" s="6"/>
      <c r="G34" s="6"/>
      <c r="H34" s="18"/>
      <c r="I34" s="52">
        <v>0.02</v>
      </c>
      <c r="J34" s="64">
        <f t="shared" si="4"/>
        <v>0</v>
      </c>
      <c r="K34" s="4">
        <v>3</v>
      </c>
      <c r="L34" s="60">
        <f t="shared" si="5"/>
        <v>6</v>
      </c>
    </row>
    <row r="35" spans="1:12" x14ac:dyDescent="0.2">
      <c r="A35" s="4">
        <v>0</v>
      </c>
      <c r="B35" s="4" t="s">
        <v>1685</v>
      </c>
      <c r="C35" s="24" t="s">
        <v>1684</v>
      </c>
      <c r="D35" s="24" t="s">
        <v>1684</v>
      </c>
      <c r="E35" s="10" t="str">
        <f t="shared" si="3"/>
        <v>Not presented</v>
      </c>
      <c r="F35" s="6"/>
      <c r="G35" s="6"/>
      <c r="H35" s="18"/>
      <c r="I35" s="52">
        <v>0.02</v>
      </c>
      <c r="J35" s="64">
        <f t="shared" si="4"/>
        <v>0</v>
      </c>
      <c r="K35" s="4">
        <v>3</v>
      </c>
      <c r="L35" s="60">
        <f t="shared" si="5"/>
        <v>6</v>
      </c>
    </row>
    <row r="36" spans="1:12" x14ac:dyDescent="0.2">
      <c r="A36" s="4"/>
      <c r="B36" s="4"/>
      <c r="C36" s="24"/>
      <c r="D36" s="24"/>
      <c r="E36" s="10"/>
      <c r="F36" s="6"/>
      <c r="G36" s="6"/>
      <c r="H36" s="18"/>
      <c r="I36" s="52"/>
      <c r="J36" s="64"/>
      <c r="K36" s="4"/>
      <c r="L36" s="60"/>
    </row>
    <row r="37" spans="1:12" x14ac:dyDescent="0.2">
      <c r="A37" s="4">
        <v>0</v>
      </c>
      <c r="B37" s="4" t="s">
        <v>1685</v>
      </c>
      <c r="C37" s="24" t="s">
        <v>1684</v>
      </c>
      <c r="D37" s="24" t="s">
        <v>1684</v>
      </c>
      <c r="E37" s="10" t="str">
        <f t="shared" ref="E37:E53" si="6">IF(A37=3,"Fully completed",IF(A37=2,"Substantially completed with missing information",IF(A37=1,"Presented but with numerous information gaps",IF(A37=0,"Not presented","error"))))</f>
        <v>Not presented</v>
      </c>
      <c r="F37" s="6"/>
      <c r="G37" s="6"/>
      <c r="H37" s="18"/>
      <c r="I37" s="52">
        <v>0.01</v>
      </c>
      <c r="J37" s="64">
        <f t="shared" ref="J37:J53" si="7">ROUND(((A37*I37)*100)/Scale,2)</f>
        <v>0</v>
      </c>
      <c r="K37" s="4">
        <v>3</v>
      </c>
      <c r="L37" s="60">
        <f t="shared" ref="L37:L53" si="8">ROUND((K37*I37)*100,0)</f>
        <v>3</v>
      </c>
    </row>
    <row r="38" spans="1:12" x14ac:dyDescent="0.2">
      <c r="A38" s="4">
        <v>3</v>
      </c>
      <c r="B38" s="4" t="s">
        <v>1684</v>
      </c>
      <c r="C38" s="4" t="s">
        <v>1684</v>
      </c>
      <c r="D38" s="4" t="s">
        <v>1684</v>
      </c>
      <c r="E38" s="10" t="str">
        <f t="shared" si="6"/>
        <v>Fully completed</v>
      </c>
      <c r="F38" s="6"/>
      <c r="G38" s="6"/>
      <c r="H38" s="18"/>
      <c r="I38" s="52">
        <v>0.01</v>
      </c>
      <c r="J38" s="64">
        <f t="shared" si="7"/>
        <v>0.98</v>
      </c>
      <c r="K38" s="4">
        <v>3</v>
      </c>
      <c r="L38" s="60">
        <f t="shared" si="8"/>
        <v>3</v>
      </c>
    </row>
    <row r="39" spans="1:12" x14ac:dyDescent="0.2">
      <c r="A39" s="4">
        <v>2</v>
      </c>
      <c r="B39" s="4" t="s">
        <v>1684</v>
      </c>
      <c r="C39" s="4" t="s">
        <v>1684</v>
      </c>
      <c r="D39" s="4" t="s">
        <v>1684</v>
      </c>
      <c r="E39" s="10" t="str">
        <f t="shared" si="6"/>
        <v>Substantially completed with missing information</v>
      </c>
      <c r="F39" s="6"/>
      <c r="G39" s="6"/>
      <c r="H39" s="18"/>
      <c r="I39" s="52">
        <v>0.01</v>
      </c>
      <c r="J39" s="64">
        <f t="shared" si="7"/>
        <v>0.66</v>
      </c>
      <c r="K39" s="4">
        <v>3</v>
      </c>
      <c r="L39" s="60">
        <f t="shared" si="8"/>
        <v>3</v>
      </c>
    </row>
    <row r="40" spans="1:12" x14ac:dyDescent="0.2">
      <c r="A40" s="4">
        <v>1</v>
      </c>
      <c r="B40" s="4" t="s">
        <v>1685</v>
      </c>
      <c r="C40" s="24" t="s">
        <v>1684</v>
      </c>
      <c r="D40" s="24" t="s">
        <v>1684</v>
      </c>
      <c r="E40" s="10" t="str">
        <f t="shared" si="6"/>
        <v>Presented but with numerous information gaps</v>
      </c>
      <c r="F40" s="6"/>
      <c r="G40" s="6"/>
      <c r="H40" s="18"/>
      <c r="I40" s="52">
        <v>0.01</v>
      </c>
      <c r="J40" s="64">
        <f t="shared" si="7"/>
        <v>0.33</v>
      </c>
      <c r="K40" s="4">
        <v>3</v>
      </c>
      <c r="L40" s="60">
        <f t="shared" si="8"/>
        <v>3</v>
      </c>
    </row>
    <row r="41" spans="1:12" x14ac:dyDescent="0.2">
      <c r="A41" s="4">
        <v>3</v>
      </c>
      <c r="B41" s="4" t="s">
        <v>1684</v>
      </c>
      <c r="C41" s="4" t="s">
        <v>1684</v>
      </c>
      <c r="D41" s="4" t="s">
        <v>1684</v>
      </c>
      <c r="E41" s="10" t="str">
        <f t="shared" si="6"/>
        <v>Fully completed</v>
      </c>
      <c r="F41" s="6"/>
      <c r="G41" s="6"/>
      <c r="H41" s="18"/>
      <c r="I41" s="52">
        <v>0.01</v>
      </c>
      <c r="J41" s="64">
        <f t="shared" si="7"/>
        <v>0.98</v>
      </c>
      <c r="K41" s="4">
        <v>3</v>
      </c>
      <c r="L41" s="60">
        <f t="shared" si="8"/>
        <v>3</v>
      </c>
    </row>
    <row r="42" spans="1:12" x14ac:dyDescent="0.2">
      <c r="A42" s="4">
        <v>3</v>
      </c>
      <c r="B42" s="4" t="s">
        <v>1684</v>
      </c>
      <c r="C42" s="4" t="s">
        <v>1684</v>
      </c>
      <c r="D42" s="4" t="s">
        <v>1684</v>
      </c>
      <c r="E42" s="10" t="str">
        <f t="shared" si="6"/>
        <v>Fully completed</v>
      </c>
      <c r="F42" s="6"/>
      <c r="G42" s="6"/>
      <c r="H42" s="18"/>
      <c r="I42" s="52">
        <v>0.01</v>
      </c>
      <c r="J42" s="64">
        <f t="shared" si="7"/>
        <v>0.98</v>
      </c>
      <c r="K42" s="4">
        <v>3</v>
      </c>
      <c r="L42" s="60">
        <f t="shared" si="8"/>
        <v>3</v>
      </c>
    </row>
    <row r="43" spans="1:12" x14ac:dyDescent="0.2">
      <c r="A43" s="4">
        <v>3</v>
      </c>
      <c r="B43" s="4" t="s">
        <v>1684</v>
      </c>
      <c r="C43" s="4" t="s">
        <v>1684</v>
      </c>
      <c r="D43" s="4" t="s">
        <v>1684</v>
      </c>
      <c r="E43" s="10" t="str">
        <f t="shared" si="6"/>
        <v>Fully completed</v>
      </c>
      <c r="F43" s="6"/>
      <c r="G43" s="6"/>
      <c r="H43" s="18"/>
      <c r="I43" s="52">
        <v>0.01</v>
      </c>
      <c r="J43" s="64">
        <f t="shared" si="7"/>
        <v>0.98</v>
      </c>
      <c r="K43" s="4">
        <v>3</v>
      </c>
      <c r="L43" s="60">
        <f t="shared" si="8"/>
        <v>3</v>
      </c>
    </row>
    <row r="44" spans="1:12" x14ac:dyDescent="0.2">
      <c r="A44" s="4">
        <v>3</v>
      </c>
      <c r="B44" s="4" t="s">
        <v>1684</v>
      </c>
      <c r="C44" s="4" t="s">
        <v>1684</v>
      </c>
      <c r="D44" s="4" t="s">
        <v>1684</v>
      </c>
      <c r="E44" s="10" t="str">
        <f t="shared" si="6"/>
        <v>Fully completed</v>
      </c>
      <c r="F44" s="6"/>
      <c r="G44" s="6"/>
      <c r="H44" s="18"/>
      <c r="I44" s="52">
        <v>0.01</v>
      </c>
      <c r="J44" s="64">
        <f t="shared" si="7"/>
        <v>0.98</v>
      </c>
      <c r="K44" s="4">
        <v>3</v>
      </c>
      <c r="L44" s="60">
        <f t="shared" si="8"/>
        <v>3</v>
      </c>
    </row>
    <row r="45" spans="1:12" x14ac:dyDescent="0.2">
      <c r="A45" s="4">
        <v>1</v>
      </c>
      <c r="B45" s="4" t="s">
        <v>1684</v>
      </c>
      <c r="C45" s="4" t="s">
        <v>1684</v>
      </c>
      <c r="D45" s="4" t="s">
        <v>1684</v>
      </c>
      <c r="E45" s="10" t="str">
        <f t="shared" si="6"/>
        <v>Presented but with numerous information gaps</v>
      </c>
      <c r="F45" s="6"/>
      <c r="G45" s="6"/>
      <c r="H45" s="18"/>
      <c r="I45" s="52">
        <v>0.01</v>
      </c>
      <c r="J45" s="64">
        <f t="shared" si="7"/>
        <v>0.33</v>
      </c>
      <c r="K45" s="4">
        <v>3</v>
      </c>
      <c r="L45" s="60">
        <f t="shared" si="8"/>
        <v>3</v>
      </c>
    </row>
    <row r="46" spans="1:12" x14ac:dyDescent="0.2">
      <c r="A46" s="4">
        <v>0</v>
      </c>
      <c r="B46" s="4" t="s">
        <v>1684</v>
      </c>
      <c r="C46" s="4" t="s">
        <v>1684</v>
      </c>
      <c r="D46" s="4" t="s">
        <v>1684</v>
      </c>
      <c r="E46" s="10" t="str">
        <f t="shared" si="6"/>
        <v>Not presented</v>
      </c>
      <c r="F46" s="6"/>
      <c r="G46" s="6"/>
      <c r="H46" s="18"/>
      <c r="I46" s="52">
        <v>0.01</v>
      </c>
      <c r="J46" s="64">
        <f t="shared" si="7"/>
        <v>0</v>
      </c>
      <c r="K46" s="4">
        <v>3</v>
      </c>
      <c r="L46" s="60">
        <f t="shared" si="8"/>
        <v>3</v>
      </c>
    </row>
    <row r="47" spans="1:12" x14ac:dyDescent="0.2">
      <c r="A47" s="4">
        <v>0</v>
      </c>
      <c r="B47" s="4" t="s">
        <v>1685</v>
      </c>
      <c r="C47" s="24" t="s">
        <v>1684</v>
      </c>
      <c r="D47" s="24" t="s">
        <v>1684</v>
      </c>
      <c r="E47" s="10" t="str">
        <f t="shared" si="6"/>
        <v>Not presented</v>
      </c>
      <c r="F47" s="6"/>
      <c r="G47" s="6"/>
      <c r="H47" s="18"/>
      <c r="I47" s="52">
        <v>0.01</v>
      </c>
      <c r="J47" s="64">
        <f t="shared" si="7"/>
        <v>0</v>
      </c>
      <c r="K47" s="4">
        <v>3</v>
      </c>
      <c r="L47" s="60">
        <f t="shared" si="8"/>
        <v>3</v>
      </c>
    </row>
    <row r="48" spans="1:12" x14ac:dyDescent="0.2">
      <c r="A48" s="4">
        <v>0</v>
      </c>
      <c r="B48" s="4" t="s">
        <v>1685</v>
      </c>
      <c r="C48" s="24" t="s">
        <v>1684</v>
      </c>
      <c r="D48" s="24" t="s">
        <v>1684</v>
      </c>
      <c r="E48" s="10" t="str">
        <f t="shared" si="6"/>
        <v>Not presented</v>
      </c>
      <c r="F48" s="6"/>
      <c r="G48" s="6"/>
      <c r="H48" s="18"/>
      <c r="I48" s="52">
        <v>0.01</v>
      </c>
      <c r="J48" s="64">
        <f t="shared" si="7"/>
        <v>0</v>
      </c>
      <c r="K48" s="4">
        <v>3</v>
      </c>
      <c r="L48" s="60">
        <f t="shared" si="8"/>
        <v>3</v>
      </c>
    </row>
    <row r="49" spans="1:12" x14ac:dyDescent="0.2">
      <c r="A49" s="4">
        <v>0</v>
      </c>
      <c r="B49" s="4" t="s">
        <v>1685</v>
      </c>
      <c r="C49" s="24" t="s">
        <v>1684</v>
      </c>
      <c r="D49" s="24" t="s">
        <v>1684</v>
      </c>
      <c r="E49" s="10" t="str">
        <f t="shared" si="6"/>
        <v>Not presented</v>
      </c>
      <c r="F49" s="6"/>
      <c r="G49" s="6"/>
      <c r="H49" s="18"/>
      <c r="I49" s="52">
        <v>0.02</v>
      </c>
      <c r="J49" s="64">
        <f t="shared" si="7"/>
        <v>0</v>
      </c>
      <c r="K49" s="4">
        <v>3</v>
      </c>
      <c r="L49" s="60">
        <f t="shared" si="8"/>
        <v>6</v>
      </c>
    </row>
    <row r="50" spans="1:12" x14ac:dyDescent="0.2">
      <c r="A50" s="4">
        <v>2</v>
      </c>
      <c r="B50" s="4" t="s">
        <v>1685</v>
      </c>
      <c r="C50" s="24" t="s">
        <v>1684</v>
      </c>
      <c r="D50" s="24" t="s">
        <v>1684</v>
      </c>
      <c r="E50" s="10" t="str">
        <f t="shared" si="6"/>
        <v>Substantially completed with missing information</v>
      </c>
      <c r="F50" s="6"/>
      <c r="G50" s="6"/>
      <c r="H50" s="18"/>
      <c r="I50" s="52">
        <v>0.01</v>
      </c>
      <c r="J50" s="64">
        <f t="shared" si="7"/>
        <v>0.66</v>
      </c>
      <c r="K50" s="4">
        <v>3</v>
      </c>
      <c r="L50" s="60">
        <f t="shared" si="8"/>
        <v>3</v>
      </c>
    </row>
    <row r="51" spans="1:12" x14ac:dyDescent="0.2">
      <c r="A51" s="4">
        <v>1</v>
      </c>
      <c r="B51" s="4" t="s">
        <v>1685</v>
      </c>
      <c r="C51" s="24" t="s">
        <v>1684</v>
      </c>
      <c r="D51" s="24" t="s">
        <v>1684</v>
      </c>
      <c r="E51" s="10" t="str">
        <f t="shared" si="6"/>
        <v>Presented but with numerous information gaps</v>
      </c>
      <c r="F51" s="6"/>
      <c r="G51" s="6"/>
      <c r="H51" s="18"/>
      <c r="I51" s="52">
        <v>0.02</v>
      </c>
      <c r="J51" s="64">
        <f t="shared" si="7"/>
        <v>0.66</v>
      </c>
      <c r="K51" s="4">
        <v>3</v>
      </c>
      <c r="L51" s="60">
        <f t="shared" si="8"/>
        <v>6</v>
      </c>
    </row>
    <row r="52" spans="1:12" x14ac:dyDescent="0.2">
      <c r="A52" s="4">
        <v>0</v>
      </c>
      <c r="B52" s="4" t="s">
        <v>1684</v>
      </c>
      <c r="C52" s="4" t="s">
        <v>1684</v>
      </c>
      <c r="D52" s="4" t="s">
        <v>1684</v>
      </c>
      <c r="E52" s="10" t="str">
        <f t="shared" si="6"/>
        <v>Not presented</v>
      </c>
      <c r="F52" s="6"/>
      <c r="G52" s="6"/>
      <c r="H52" s="18"/>
      <c r="I52" s="52">
        <v>0.01</v>
      </c>
      <c r="J52" s="64">
        <f t="shared" si="7"/>
        <v>0</v>
      </c>
      <c r="K52" s="4">
        <v>3</v>
      </c>
      <c r="L52" s="60">
        <f t="shared" si="8"/>
        <v>3</v>
      </c>
    </row>
    <row r="53" spans="1:12" x14ac:dyDescent="0.2">
      <c r="A53" s="22">
        <v>0</v>
      </c>
      <c r="B53" s="22" t="s">
        <v>1685</v>
      </c>
      <c r="C53" s="25" t="s">
        <v>1684</v>
      </c>
      <c r="D53" s="25" t="s">
        <v>1684</v>
      </c>
      <c r="E53" s="11" t="str">
        <f t="shared" si="6"/>
        <v>Not presented</v>
      </c>
      <c r="F53" s="19"/>
      <c r="G53" s="19"/>
      <c r="H53" s="20"/>
      <c r="I53" s="53">
        <v>0.02</v>
      </c>
      <c r="J53" s="65">
        <f t="shared" si="7"/>
        <v>0</v>
      </c>
      <c r="K53" s="4">
        <v>3</v>
      </c>
      <c r="L53" s="60">
        <f t="shared" si="8"/>
        <v>6</v>
      </c>
    </row>
    <row r="54" spans="1:12" x14ac:dyDescent="0.2">
      <c r="A54" s="9"/>
      <c r="B54" s="9"/>
      <c r="C54" s="9"/>
      <c r="D54" s="9"/>
      <c r="E54" s="2"/>
      <c r="F54" s="2"/>
      <c r="G54" s="2"/>
      <c r="H54" s="51" t="s">
        <v>1686</v>
      </c>
      <c r="I54" s="7">
        <f>SUM(I21:I53)</f>
        <v>0.41000000000000014</v>
      </c>
      <c r="J54" s="62">
        <f>SUM(J21:J53)</f>
        <v>21.300000000000004</v>
      </c>
      <c r="K54" s="12"/>
      <c r="L54" s="60"/>
    </row>
    <row r="55" spans="1:12" x14ac:dyDescent="0.2">
      <c r="A55" s="9"/>
      <c r="B55" s="9"/>
      <c r="C55" s="9"/>
      <c r="D55" s="9"/>
      <c r="E55" s="2"/>
      <c r="F55" s="2"/>
      <c r="G55" s="2"/>
      <c r="H55" s="51"/>
      <c r="I55" s="136"/>
      <c r="J55" s="137"/>
      <c r="K55" s="12"/>
      <c r="L55" s="60"/>
    </row>
    <row r="56" spans="1:12" x14ac:dyDescent="0.2">
      <c r="A56" s="21">
        <v>3</v>
      </c>
      <c r="B56" s="21" t="s">
        <v>1684</v>
      </c>
      <c r="C56" s="21" t="s">
        <v>1684</v>
      </c>
      <c r="D56" s="21" t="s">
        <v>1684</v>
      </c>
      <c r="E56" s="54" t="str">
        <f t="shared" ref="E56:E75" si="9">IF(A56=3,"Fully completed",IF(A56=2,"Substantially completed with missing information",IF(A56=1,"Presented but with numerous information gaps",IF(A56=0,"Not presented","error"))))</f>
        <v>Fully completed</v>
      </c>
      <c r="F56" s="16"/>
      <c r="G56" s="16"/>
      <c r="H56" s="17"/>
      <c r="I56" s="55">
        <v>0.01</v>
      </c>
      <c r="J56" s="21">
        <f t="shared" ref="J56:J75" si="10">ROUND(((A56*I56)*100)/Scale,2)</f>
        <v>0.98</v>
      </c>
      <c r="K56" s="4">
        <v>3</v>
      </c>
      <c r="L56" s="60">
        <f t="shared" ref="L56:L75" si="11">ROUND((K56*I56)*100,0)</f>
        <v>3</v>
      </c>
    </row>
    <row r="57" spans="1:12" x14ac:dyDescent="0.2">
      <c r="A57" s="4">
        <v>3</v>
      </c>
      <c r="B57" s="4" t="s">
        <v>1684</v>
      </c>
      <c r="C57" s="4" t="s">
        <v>1684</v>
      </c>
      <c r="D57" s="4" t="s">
        <v>1684</v>
      </c>
      <c r="E57" s="10" t="str">
        <f t="shared" si="9"/>
        <v>Fully completed</v>
      </c>
      <c r="F57" s="6"/>
      <c r="G57" s="6"/>
      <c r="H57" s="18"/>
      <c r="I57" s="52">
        <v>0.01</v>
      </c>
      <c r="J57" s="4">
        <f t="shared" si="10"/>
        <v>0.98</v>
      </c>
      <c r="K57" s="4">
        <v>3</v>
      </c>
      <c r="L57" s="60">
        <f t="shared" si="11"/>
        <v>3</v>
      </c>
    </row>
    <row r="58" spans="1:12" x14ac:dyDescent="0.2">
      <c r="A58" s="4">
        <v>3</v>
      </c>
      <c r="B58" s="4" t="s">
        <v>1684</v>
      </c>
      <c r="C58" s="4" t="s">
        <v>1684</v>
      </c>
      <c r="D58" s="4" t="s">
        <v>1684</v>
      </c>
      <c r="E58" s="10" t="str">
        <f t="shared" si="9"/>
        <v>Fully completed</v>
      </c>
      <c r="F58" s="6"/>
      <c r="G58" s="6"/>
      <c r="H58" s="18"/>
      <c r="I58" s="52">
        <v>0.01</v>
      </c>
      <c r="J58" s="4">
        <f t="shared" si="10"/>
        <v>0.98</v>
      </c>
      <c r="K58" s="4">
        <v>3</v>
      </c>
      <c r="L58" s="60">
        <f t="shared" si="11"/>
        <v>3</v>
      </c>
    </row>
    <row r="59" spans="1:12" x14ac:dyDescent="0.2">
      <c r="A59" s="4">
        <v>3</v>
      </c>
      <c r="B59" s="4" t="s">
        <v>1685</v>
      </c>
      <c r="C59" s="4" t="s">
        <v>1685</v>
      </c>
      <c r="D59" s="4" t="s">
        <v>1685</v>
      </c>
      <c r="E59" s="10" t="str">
        <f t="shared" si="9"/>
        <v>Fully completed</v>
      </c>
      <c r="F59" s="6"/>
      <c r="G59" s="6"/>
      <c r="H59" s="18"/>
      <c r="I59" s="56">
        <v>5.0000000000000001E-3</v>
      </c>
      <c r="J59" s="4">
        <f t="shared" si="10"/>
        <v>0.49</v>
      </c>
      <c r="K59" s="4">
        <v>3</v>
      </c>
      <c r="L59" s="60">
        <f t="shared" si="11"/>
        <v>2</v>
      </c>
    </row>
    <row r="60" spans="1:12" x14ac:dyDescent="0.2">
      <c r="A60" s="4">
        <v>3</v>
      </c>
      <c r="B60" s="4" t="s">
        <v>1684</v>
      </c>
      <c r="C60" s="4" t="s">
        <v>1684</v>
      </c>
      <c r="D60" s="4" t="s">
        <v>1684</v>
      </c>
      <c r="E60" s="10" t="str">
        <f t="shared" si="9"/>
        <v>Fully completed</v>
      </c>
      <c r="F60" s="6"/>
      <c r="G60" s="6"/>
      <c r="H60" s="18"/>
      <c r="I60" s="52">
        <v>0.01</v>
      </c>
      <c r="J60" s="4">
        <f t="shared" si="10"/>
        <v>0.98</v>
      </c>
      <c r="K60" s="4">
        <v>3</v>
      </c>
      <c r="L60" s="60">
        <f t="shared" si="11"/>
        <v>3</v>
      </c>
    </row>
    <row r="61" spans="1:12" x14ac:dyDescent="0.2">
      <c r="A61" s="4">
        <v>3</v>
      </c>
      <c r="B61" s="4" t="s">
        <v>1685</v>
      </c>
      <c r="C61" s="4" t="s">
        <v>1685</v>
      </c>
      <c r="D61" s="4" t="s">
        <v>1685</v>
      </c>
      <c r="E61" s="10" t="str">
        <f t="shared" si="9"/>
        <v>Fully completed</v>
      </c>
      <c r="F61" s="6"/>
      <c r="G61" s="6"/>
      <c r="H61" s="18"/>
      <c r="I61" s="56">
        <v>5.0000000000000001E-3</v>
      </c>
      <c r="J61" s="4">
        <f t="shared" si="10"/>
        <v>0.49</v>
      </c>
      <c r="K61" s="4">
        <v>3</v>
      </c>
      <c r="L61" s="60">
        <f t="shared" si="11"/>
        <v>2</v>
      </c>
    </row>
    <row r="62" spans="1:12" x14ac:dyDescent="0.2">
      <c r="A62" s="4">
        <v>3</v>
      </c>
      <c r="B62" s="4" t="s">
        <v>1684</v>
      </c>
      <c r="C62" s="4" t="s">
        <v>1684</v>
      </c>
      <c r="D62" s="4" t="s">
        <v>1684</v>
      </c>
      <c r="E62" s="10" t="str">
        <f t="shared" si="9"/>
        <v>Fully completed</v>
      </c>
      <c r="F62" s="6"/>
      <c r="G62" s="6"/>
      <c r="H62" s="18"/>
      <c r="I62" s="52">
        <v>0.01</v>
      </c>
      <c r="J62" s="4">
        <f t="shared" si="10"/>
        <v>0.98</v>
      </c>
      <c r="K62" s="4">
        <v>3</v>
      </c>
      <c r="L62" s="60">
        <f t="shared" si="11"/>
        <v>3</v>
      </c>
    </row>
    <row r="63" spans="1:12" x14ac:dyDescent="0.2">
      <c r="A63" s="4">
        <v>3</v>
      </c>
      <c r="B63" s="4" t="s">
        <v>1685</v>
      </c>
      <c r="C63" s="4" t="s">
        <v>1685</v>
      </c>
      <c r="D63" s="4" t="s">
        <v>1685</v>
      </c>
      <c r="E63" s="10" t="str">
        <f t="shared" si="9"/>
        <v>Fully completed</v>
      </c>
      <c r="F63" s="6"/>
      <c r="G63" s="6"/>
      <c r="H63" s="18"/>
      <c r="I63" s="56">
        <v>5.0000000000000001E-3</v>
      </c>
      <c r="J63" s="4">
        <f t="shared" si="10"/>
        <v>0.49</v>
      </c>
      <c r="K63" s="4">
        <v>3</v>
      </c>
      <c r="L63" s="60">
        <f t="shared" si="11"/>
        <v>2</v>
      </c>
    </row>
    <row r="64" spans="1:12" x14ac:dyDescent="0.2">
      <c r="A64" s="4">
        <v>3</v>
      </c>
      <c r="B64" s="4" t="s">
        <v>1685</v>
      </c>
      <c r="C64" s="4" t="s">
        <v>1685</v>
      </c>
      <c r="D64" s="4" t="s">
        <v>1685</v>
      </c>
      <c r="E64" s="10" t="str">
        <f t="shared" si="9"/>
        <v>Fully completed</v>
      </c>
      <c r="F64" s="6"/>
      <c r="G64" s="6"/>
      <c r="H64" s="18"/>
      <c r="I64" s="56">
        <v>5.0000000000000001E-3</v>
      </c>
      <c r="J64" s="4">
        <f t="shared" si="10"/>
        <v>0.49</v>
      </c>
      <c r="K64" s="4">
        <v>3</v>
      </c>
      <c r="L64" s="60">
        <f t="shared" si="11"/>
        <v>2</v>
      </c>
    </row>
    <row r="65" spans="1:12" x14ac:dyDescent="0.2">
      <c r="A65" s="4">
        <v>3</v>
      </c>
      <c r="B65" s="4" t="s">
        <v>1684</v>
      </c>
      <c r="C65" s="4" t="s">
        <v>1684</v>
      </c>
      <c r="D65" s="4" t="s">
        <v>1684</v>
      </c>
      <c r="E65" s="10" t="str">
        <f t="shared" si="9"/>
        <v>Fully completed</v>
      </c>
      <c r="F65" s="6"/>
      <c r="G65" s="6"/>
      <c r="H65" s="18"/>
      <c r="I65" s="52">
        <v>0.01</v>
      </c>
      <c r="J65" s="4">
        <f t="shared" si="10"/>
        <v>0.98</v>
      </c>
      <c r="K65" s="4">
        <v>3</v>
      </c>
      <c r="L65" s="60">
        <f t="shared" si="11"/>
        <v>3</v>
      </c>
    </row>
    <row r="66" spans="1:12" x14ac:dyDescent="0.2">
      <c r="A66" s="4">
        <v>3</v>
      </c>
      <c r="B66" s="4" t="s">
        <v>1685</v>
      </c>
      <c r="C66" s="4" t="s">
        <v>1685</v>
      </c>
      <c r="D66" s="4" t="s">
        <v>1685</v>
      </c>
      <c r="E66" s="10" t="str">
        <f t="shared" si="9"/>
        <v>Fully completed</v>
      </c>
      <c r="F66" s="6"/>
      <c r="G66" s="6"/>
      <c r="H66" s="18"/>
      <c r="I66" s="56">
        <v>5.0000000000000001E-3</v>
      </c>
      <c r="J66" s="4">
        <f t="shared" si="10"/>
        <v>0.49</v>
      </c>
      <c r="K66" s="4">
        <v>3</v>
      </c>
      <c r="L66" s="60">
        <f t="shared" si="11"/>
        <v>2</v>
      </c>
    </row>
    <row r="67" spans="1:12" x14ac:dyDescent="0.2">
      <c r="A67" s="4">
        <v>3</v>
      </c>
      <c r="B67" s="4" t="s">
        <v>1685</v>
      </c>
      <c r="C67" s="4" t="s">
        <v>1685</v>
      </c>
      <c r="D67" s="4" t="s">
        <v>1685</v>
      </c>
      <c r="E67" s="10" t="str">
        <f t="shared" si="9"/>
        <v>Fully completed</v>
      </c>
      <c r="F67" s="6"/>
      <c r="G67" s="6"/>
      <c r="H67" s="18"/>
      <c r="I67" s="56">
        <v>5.0000000000000001E-3</v>
      </c>
      <c r="J67" s="4">
        <f t="shared" si="10"/>
        <v>0.49</v>
      </c>
      <c r="K67" s="4">
        <v>3</v>
      </c>
      <c r="L67" s="60">
        <f t="shared" si="11"/>
        <v>2</v>
      </c>
    </row>
    <row r="68" spans="1:12" x14ac:dyDescent="0.2">
      <c r="A68" s="4">
        <v>3</v>
      </c>
      <c r="B68" s="4" t="s">
        <v>1685</v>
      </c>
      <c r="C68" s="4" t="s">
        <v>1685</v>
      </c>
      <c r="D68" s="4" t="s">
        <v>1685</v>
      </c>
      <c r="E68" s="10" t="str">
        <f t="shared" si="9"/>
        <v>Fully completed</v>
      </c>
      <c r="F68" s="6"/>
      <c r="G68" s="6"/>
      <c r="H68" s="18"/>
      <c r="I68" s="56">
        <v>5.0000000000000001E-3</v>
      </c>
      <c r="J68" s="4">
        <f t="shared" si="10"/>
        <v>0.49</v>
      </c>
      <c r="K68" s="4">
        <v>3</v>
      </c>
      <c r="L68" s="60">
        <f t="shared" si="11"/>
        <v>2</v>
      </c>
    </row>
    <row r="69" spans="1:12" x14ac:dyDescent="0.2">
      <c r="A69" s="4">
        <v>3</v>
      </c>
      <c r="B69" s="4" t="s">
        <v>1685</v>
      </c>
      <c r="C69" s="4" t="s">
        <v>1685</v>
      </c>
      <c r="D69" s="4" t="s">
        <v>1685</v>
      </c>
      <c r="E69" s="10" t="str">
        <f t="shared" si="9"/>
        <v>Fully completed</v>
      </c>
      <c r="F69" s="6"/>
      <c r="G69" s="6"/>
      <c r="H69" s="18"/>
      <c r="I69" s="56">
        <v>5.0000000000000001E-3</v>
      </c>
      <c r="J69" s="4">
        <f t="shared" si="10"/>
        <v>0.49</v>
      </c>
      <c r="K69" s="4">
        <v>3</v>
      </c>
      <c r="L69" s="60">
        <f t="shared" si="11"/>
        <v>2</v>
      </c>
    </row>
    <row r="70" spans="1:12" x14ac:dyDescent="0.2">
      <c r="A70" s="4">
        <v>3</v>
      </c>
      <c r="B70" s="4" t="s">
        <v>1685</v>
      </c>
      <c r="C70" s="4" t="s">
        <v>1685</v>
      </c>
      <c r="D70" s="4" t="s">
        <v>1685</v>
      </c>
      <c r="E70" s="10" t="str">
        <f t="shared" si="9"/>
        <v>Fully completed</v>
      </c>
      <c r="F70" s="6"/>
      <c r="G70" s="6"/>
      <c r="H70" s="18"/>
      <c r="I70" s="56">
        <v>5.0000000000000001E-3</v>
      </c>
      <c r="J70" s="4">
        <f t="shared" si="10"/>
        <v>0.49</v>
      </c>
      <c r="K70" s="4">
        <v>3</v>
      </c>
      <c r="L70" s="60">
        <f t="shared" si="11"/>
        <v>2</v>
      </c>
    </row>
    <row r="71" spans="1:12" x14ac:dyDescent="0.2">
      <c r="A71" s="4">
        <v>3</v>
      </c>
      <c r="B71" s="4" t="s">
        <v>1684</v>
      </c>
      <c r="C71" s="4" t="s">
        <v>1684</v>
      </c>
      <c r="D71" s="4" t="s">
        <v>1684</v>
      </c>
      <c r="E71" s="10" t="str">
        <f t="shared" si="9"/>
        <v>Fully completed</v>
      </c>
      <c r="F71" s="6"/>
      <c r="G71" s="6"/>
      <c r="H71" s="18"/>
      <c r="I71" s="52">
        <v>0.01</v>
      </c>
      <c r="J71" s="4">
        <f t="shared" si="10"/>
        <v>0.98</v>
      </c>
      <c r="K71" s="4">
        <v>3</v>
      </c>
      <c r="L71" s="60">
        <f t="shared" si="11"/>
        <v>3</v>
      </c>
    </row>
    <row r="72" spans="1:12" x14ac:dyDescent="0.2">
      <c r="A72" s="4">
        <v>1</v>
      </c>
      <c r="B72" s="4" t="s">
        <v>1684</v>
      </c>
      <c r="C72" s="4" t="s">
        <v>1684</v>
      </c>
      <c r="D72" s="4" t="s">
        <v>1684</v>
      </c>
      <c r="E72" s="10" t="str">
        <f t="shared" si="9"/>
        <v>Presented but with numerous information gaps</v>
      </c>
      <c r="F72" s="6"/>
      <c r="G72" s="6"/>
      <c r="H72" s="18"/>
      <c r="I72" s="58">
        <v>7.4999999999999997E-3</v>
      </c>
      <c r="J72" s="4">
        <f t="shared" si="10"/>
        <v>0.25</v>
      </c>
      <c r="K72" s="4">
        <v>3</v>
      </c>
      <c r="L72" s="60">
        <f t="shared" si="11"/>
        <v>2</v>
      </c>
    </row>
    <row r="73" spans="1:12" x14ac:dyDescent="0.2">
      <c r="A73" s="4">
        <v>2</v>
      </c>
      <c r="B73" s="4" t="s">
        <v>1684</v>
      </c>
      <c r="C73" s="4" t="s">
        <v>1684</v>
      </c>
      <c r="D73" s="4" t="s">
        <v>1684</v>
      </c>
      <c r="E73" s="10" t="str">
        <f t="shared" si="9"/>
        <v>Substantially completed with missing information</v>
      </c>
      <c r="F73" s="6"/>
      <c r="G73" s="6"/>
      <c r="H73" s="18"/>
      <c r="I73" s="58">
        <v>7.4999999999999997E-3</v>
      </c>
      <c r="J73" s="4">
        <f t="shared" si="10"/>
        <v>0.49</v>
      </c>
      <c r="K73" s="4">
        <v>3</v>
      </c>
      <c r="L73" s="60">
        <f t="shared" si="11"/>
        <v>2</v>
      </c>
    </row>
    <row r="74" spans="1:12" x14ac:dyDescent="0.2">
      <c r="A74" s="4">
        <v>3</v>
      </c>
      <c r="B74" s="4" t="s">
        <v>1685</v>
      </c>
      <c r="C74" s="4" t="s">
        <v>1685</v>
      </c>
      <c r="D74" s="4" t="s">
        <v>1685</v>
      </c>
      <c r="E74" s="10" t="str">
        <f t="shared" si="9"/>
        <v>Fully completed</v>
      </c>
      <c r="F74" s="6"/>
      <c r="G74" s="6"/>
      <c r="H74" s="18"/>
      <c r="I74" s="56">
        <v>5.0000000000000001E-3</v>
      </c>
      <c r="J74" s="4">
        <f t="shared" si="10"/>
        <v>0.49</v>
      </c>
      <c r="K74" s="4">
        <v>3</v>
      </c>
      <c r="L74" s="60">
        <f t="shared" si="11"/>
        <v>2</v>
      </c>
    </row>
    <row r="75" spans="1:12" x14ac:dyDescent="0.2">
      <c r="A75" s="22">
        <v>3</v>
      </c>
      <c r="B75" s="22" t="s">
        <v>1684</v>
      </c>
      <c r="C75" s="22" t="s">
        <v>1684</v>
      </c>
      <c r="D75" s="22" t="s">
        <v>1684</v>
      </c>
      <c r="E75" s="11" t="str">
        <f t="shared" si="9"/>
        <v>Fully completed</v>
      </c>
      <c r="F75" s="19"/>
      <c r="G75" s="19"/>
      <c r="H75" s="20"/>
      <c r="I75" s="57">
        <v>1.4999999999999999E-2</v>
      </c>
      <c r="J75" s="22">
        <f t="shared" si="10"/>
        <v>1.48</v>
      </c>
      <c r="K75" s="4">
        <v>3</v>
      </c>
      <c r="L75" s="60">
        <f t="shared" si="11"/>
        <v>5</v>
      </c>
    </row>
    <row r="76" spans="1:12" x14ac:dyDescent="0.2">
      <c r="A76" s="5"/>
      <c r="B76" s="5"/>
      <c r="C76" s="5"/>
      <c r="D76" s="5"/>
      <c r="E76" s="6"/>
      <c r="F76" s="6"/>
      <c r="G76" s="6"/>
      <c r="H76" s="51" t="s">
        <v>1537</v>
      </c>
      <c r="I76" s="67">
        <f>SUM(I56:I75)</f>
        <v>0.15000000000000002</v>
      </c>
      <c r="J76" s="62">
        <f>SUM(J56:J75)</f>
        <v>13.980000000000004</v>
      </c>
      <c r="K76" s="12"/>
      <c r="L76" s="63">
        <f>SUM(L10:L75)</f>
        <v>278</v>
      </c>
    </row>
    <row r="77" spans="1:12" x14ac:dyDescent="0.2">
      <c r="A77" s="9"/>
      <c r="B77" s="9"/>
      <c r="C77" s="9"/>
      <c r="D77" s="9"/>
      <c r="E77" s="2"/>
      <c r="F77" s="2"/>
      <c r="G77" s="2"/>
      <c r="H77" s="51" t="s">
        <v>1534</v>
      </c>
      <c r="I77" s="59">
        <f>I20+I54+I76</f>
        <v>0.91000000000000014</v>
      </c>
      <c r="J77" s="62">
        <f>J20+J54+J76</f>
        <v>66.080000000000013</v>
      </c>
      <c r="K77" s="38"/>
      <c r="L77" s="38">
        <v>3.05</v>
      </c>
    </row>
    <row r="78" spans="1:12" x14ac:dyDescent="0.2">
      <c r="A78" s="9"/>
      <c r="B78" s="9"/>
      <c r="C78" s="9"/>
      <c r="D78" s="9"/>
      <c r="E78" s="2"/>
      <c r="F78" s="2"/>
      <c r="G78" s="2"/>
      <c r="H78" s="51"/>
      <c r="I78" s="2"/>
      <c r="J78" s="2"/>
      <c r="K78" s="2"/>
      <c r="L78" s="2"/>
    </row>
    <row r="79" spans="1:12" x14ac:dyDescent="0.2">
      <c r="A79" s="9"/>
      <c r="B79" s="9"/>
      <c r="C79" s="9"/>
      <c r="D79" s="9"/>
      <c r="E79" s="2"/>
      <c r="F79" s="2"/>
      <c r="G79" s="2"/>
      <c r="H79" s="51" t="s">
        <v>1536</v>
      </c>
      <c r="I79" s="2"/>
      <c r="J79" s="2"/>
      <c r="K79" s="2"/>
      <c r="L79" s="2"/>
    </row>
  </sheetData>
  <sheetProtection selectLockedCells="1"/>
  <mergeCells count="3">
    <mergeCell ref="A8:J8"/>
    <mergeCell ref="E9:H9"/>
    <mergeCell ref="A2:J2"/>
  </mergeCells>
  <phoneticPr fontId="4" type="noConversion"/>
  <printOptions horizontalCentered="1"/>
  <pageMargins left="0.43307086614173229" right="0.15748031496062992" top="0.51181102362204722" bottom="0.55118110236220474" header="0.51181102362204722" footer="0.51181102362204722"/>
  <pageSetup paperSize="9" scale="7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4"/>
    <pageSetUpPr fitToPage="1"/>
  </sheetPr>
  <dimension ref="A1:O68"/>
  <sheetViews>
    <sheetView showGridLines="0" tabSelected="1" workbookViewId="0">
      <pane xSplit="1" ySplit="3" topLeftCell="B4"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11" width="9" style="148" customWidth="1"/>
    <col min="12" max="14" width="7.7109375" style="148" customWidth="1"/>
    <col min="15" max="16384" width="9.140625" style="148"/>
  </cols>
  <sheetData>
    <row r="1" spans="1:12" ht="13.5" customHeight="1" x14ac:dyDescent="0.25">
      <c r="A1" s="2702" t="str">
        <f>muni&amp;" - "&amp;Approve1</f>
        <v>NC071 Ubuntu - Table A1 Budget Summary</v>
      </c>
      <c r="B1" s="2703"/>
      <c r="C1" s="2703"/>
      <c r="D1" s="147"/>
      <c r="E1" s="147"/>
      <c r="F1" s="147"/>
      <c r="G1" s="147"/>
      <c r="H1" s="147"/>
      <c r="I1" s="147"/>
      <c r="J1" s="147"/>
      <c r="K1" s="147"/>
    </row>
    <row r="2" spans="1:12" ht="28.5" customHeight="1" x14ac:dyDescent="0.25">
      <c r="A2" s="802" t="str">
        <f>desc</f>
        <v>Description</v>
      </c>
      <c r="B2" s="143" t="str">
        <f>head1b</f>
        <v>2008/9</v>
      </c>
      <c r="C2" s="149" t="str">
        <f>head1A</f>
        <v>2009/10</v>
      </c>
      <c r="D2" s="145" t="str">
        <f>Head1</f>
        <v>2010/11</v>
      </c>
      <c r="E2" s="2700" t="str">
        <f>Head2</f>
        <v>Current Year 2011/12</v>
      </c>
      <c r="F2" s="2701"/>
      <c r="G2" s="2701"/>
      <c r="H2" s="2701"/>
      <c r="I2" s="2697" t="str">
        <f>Head3</f>
        <v>2012/13 Medium Term Revenue &amp; Expenditure Framework</v>
      </c>
      <c r="J2" s="2698"/>
      <c r="K2" s="2699"/>
    </row>
    <row r="3" spans="1:12" ht="25.5" x14ac:dyDescent="0.25">
      <c r="A3" s="933" t="s">
        <v>34</v>
      </c>
      <c r="B3" s="283" t="str">
        <f>Head5</f>
        <v>Audited Outcome</v>
      </c>
      <c r="C3" s="353" t="str">
        <f>Head5</f>
        <v>Audited Outcome</v>
      </c>
      <c r="D3" s="354" t="str">
        <f>Head5</f>
        <v>Audited Outcome</v>
      </c>
      <c r="E3" s="283" t="str">
        <f>Head6</f>
        <v>Original Budget</v>
      </c>
      <c r="F3" s="353" t="str">
        <f>Head7</f>
        <v>Adjusted Budget</v>
      </c>
      <c r="G3" s="354" t="str">
        <f>Head8</f>
        <v>Full Year Forecast</v>
      </c>
      <c r="H3" s="352" t="str">
        <f>Head5b</f>
        <v>Pre-audit outcome</v>
      </c>
      <c r="I3" s="283" t="str">
        <f>Head9</f>
        <v>Budget Year 2012/13</v>
      </c>
      <c r="J3" s="353" t="str">
        <f>Head10</f>
        <v>Budget Year +1 2013/14</v>
      </c>
      <c r="K3" s="354" t="str">
        <f>Head11</f>
        <v>Budget Year +2 2014/15</v>
      </c>
    </row>
    <row r="4" spans="1:12" ht="11.25" customHeight="1" x14ac:dyDescent="0.25">
      <c r="A4" s="732" t="s">
        <v>1374</v>
      </c>
      <c r="B4" s="157"/>
      <c r="C4" s="158"/>
      <c r="D4" s="159"/>
      <c r="E4" s="157"/>
      <c r="F4" s="158"/>
      <c r="G4" s="159"/>
      <c r="H4" s="160"/>
      <c r="I4" s="157"/>
      <c r="J4" s="158"/>
      <c r="K4" s="159"/>
    </row>
    <row r="5" spans="1:12" ht="11.25" customHeight="1" x14ac:dyDescent="0.25">
      <c r="A5" s="713" t="s">
        <v>543</v>
      </c>
      <c r="B5" s="903">
        <f>'A4-FinPerf RE'!C5+'A4-FinPerf RE'!C6</f>
        <v>2889951.94</v>
      </c>
      <c r="C5" s="205">
        <f>'A4-FinPerf RE'!D5+'A4-FinPerf RE'!D6</f>
        <v>4142385.0100000002</v>
      </c>
      <c r="D5" s="474">
        <f>'A4-FinPerf RE'!E5+'A4-FinPerf RE'!E6</f>
        <v>2607911.0211719652</v>
      </c>
      <c r="E5" s="209">
        <f>'A4-FinPerf RE'!F5+'A4-FinPerf RE'!F6</f>
        <v>3880165</v>
      </c>
      <c r="F5" s="205">
        <f>'A4-FinPerf RE'!G5+'A4-FinPerf RE'!G6</f>
        <v>4305538</v>
      </c>
      <c r="G5" s="475">
        <f>'A4-FinPerf RE'!H5+'A4-FinPerf RE'!H6</f>
        <v>4305538</v>
      </c>
      <c r="H5" s="208">
        <f>'A4-FinPerf RE'!I5+'A4-FinPerf RE'!I6</f>
        <v>4305538</v>
      </c>
      <c r="I5" s="209">
        <f>'A4-FinPerf RE'!J5+'A4-FinPerf RE'!J6</f>
        <v>6196106.2399299834</v>
      </c>
      <c r="J5" s="205">
        <f>'A4-FinPerf RE'!K5+'A4-FinPerf RE'!K6</f>
        <v>6567872.6143257823</v>
      </c>
      <c r="K5" s="475">
        <f>'A4-FinPerf RE'!L5+'A4-FinPerf RE'!L6</f>
        <v>6961944.9711853284</v>
      </c>
      <c r="L5" s="338"/>
    </row>
    <row r="6" spans="1:12" ht="11.25" customHeight="1" x14ac:dyDescent="0.25">
      <c r="A6" s="713" t="s">
        <v>1618</v>
      </c>
      <c r="B6" s="205">
        <f>SUM('A4-FinPerf RE'!C7:C11)</f>
        <v>12176754.35</v>
      </c>
      <c r="C6" s="205">
        <f>SUM('A4-FinPerf RE'!D7:D11)</f>
        <v>12929108.920000002</v>
      </c>
      <c r="D6" s="474">
        <f>SUM('A4-FinPerf RE'!E7:E11)</f>
        <v>15846201.98</v>
      </c>
      <c r="E6" s="209">
        <f>SUM('A4-FinPerf RE'!F7:F11)</f>
        <v>11594748.8486</v>
      </c>
      <c r="F6" s="205">
        <f>SUM('A4-FinPerf RE'!G7:G11)</f>
        <v>14606103</v>
      </c>
      <c r="G6" s="475">
        <f>SUM('A4-FinPerf RE'!H7:H11)</f>
        <v>14606103</v>
      </c>
      <c r="H6" s="208">
        <f>SUM('A4-FinPerf RE'!I7:I11)</f>
        <v>14606103</v>
      </c>
      <c r="I6" s="209">
        <f>SUM('A4-FinPerf RE'!J7:J11)</f>
        <v>21394358.976840001</v>
      </c>
      <c r="J6" s="205">
        <f>SUM('A4-FinPerf RE'!K7:K11)</f>
        <v>22678020.515450403</v>
      </c>
      <c r="K6" s="475">
        <f>SUM('A4-FinPerf RE'!L7:L11)</f>
        <v>24038701.74037743</v>
      </c>
    </row>
    <row r="7" spans="1:12" ht="11.25" customHeight="1" x14ac:dyDescent="0.25">
      <c r="A7" s="713" t="s">
        <v>503</v>
      </c>
      <c r="B7" s="205">
        <f>'A4-FinPerf RE'!C13</f>
        <v>864018.77999999991</v>
      </c>
      <c r="C7" s="205">
        <f>'A4-FinPerf RE'!D13</f>
        <v>416264.64</v>
      </c>
      <c r="D7" s="474">
        <f>'A4-FinPerf RE'!E13</f>
        <v>350594.88699999999</v>
      </c>
      <c r="E7" s="209">
        <f>'A4-FinPerf RE'!F13</f>
        <v>250000</v>
      </c>
      <c r="F7" s="205">
        <f>'A4-FinPerf RE'!G13</f>
        <v>320000</v>
      </c>
      <c r="G7" s="475">
        <f>'A4-FinPerf RE'!H13</f>
        <v>320000</v>
      </c>
      <c r="H7" s="208">
        <f>'A4-FinPerf RE'!I13</f>
        <v>320000</v>
      </c>
      <c r="I7" s="209">
        <f>'A4-FinPerf RE'!J13</f>
        <v>380000</v>
      </c>
      <c r="J7" s="205">
        <f>'A4-FinPerf RE'!K13</f>
        <v>402800</v>
      </c>
      <c r="K7" s="475">
        <f>'A4-FinPerf RE'!L13</f>
        <v>426968</v>
      </c>
    </row>
    <row r="8" spans="1:12" ht="11.25" customHeight="1" x14ac:dyDescent="0.25">
      <c r="A8" s="713" t="s">
        <v>35</v>
      </c>
      <c r="B8" s="205">
        <f>'A4-FinPerf RE'!C19</f>
        <v>29097540.5638</v>
      </c>
      <c r="C8" s="205">
        <f>'A4-FinPerf RE'!D19</f>
        <v>13251633.682200002</v>
      </c>
      <c r="D8" s="474">
        <f>'A4-FinPerf RE'!E19</f>
        <v>16301897.869999999</v>
      </c>
      <c r="E8" s="209">
        <f>'A4-FinPerf RE'!F19</f>
        <v>18061000</v>
      </c>
      <c r="F8" s="205">
        <f>'A4-FinPerf RE'!G19</f>
        <v>18623000</v>
      </c>
      <c r="G8" s="475">
        <f>'A4-FinPerf RE'!H19</f>
        <v>18623000</v>
      </c>
      <c r="H8" s="208">
        <f>'A4-FinPerf RE'!I19</f>
        <v>18623000</v>
      </c>
      <c r="I8" s="209">
        <f>'A4-FinPerf RE'!J19</f>
        <v>20785000</v>
      </c>
      <c r="J8" s="205">
        <f>'A4-FinPerf RE'!K19</f>
        <v>22636800</v>
      </c>
      <c r="K8" s="475">
        <f>'A4-FinPerf RE'!L19</f>
        <v>24289408</v>
      </c>
    </row>
    <row r="9" spans="1:12" ht="11.25" customHeight="1" x14ac:dyDescent="0.25">
      <c r="A9" s="713" t="s">
        <v>205</v>
      </c>
      <c r="B9" s="205">
        <f>'A4-FinPerf RE'!C12+'A4-FinPerf RE'!C14+'A4-FinPerf RE'!C15+'A4-FinPerf RE'!C16+'A4-FinPerf RE'!C17+'A4-FinPerf RE'!C18+'A4-FinPerf RE'!C20+'A4-FinPerf RE'!C21</f>
        <v>18261806.607341278</v>
      </c>
      <c r="C9" s="205">
        <f>'A4-FinPerf RE'!D12+'A4-FinPerf RE'!D14+'A4-FinPerf RE'!D15+'A4-FinPerf RE'!D16+'A4-FinPerf RE'!D17+'A4-FinPerf RE'!D18+'A4-FinPerf RE'!D20+'A4-FinPerf RE'!D21</f>
        <v>19046529.70811294</v>
      </c>
      <c r="D9" s="474">
        <f>'A4-FinPerf RE'!E12+'A4-FinPerf RE'!E14+'A4-FinPerf RE'!E15+'A4-FinPerf RE'!E16+'A4-FinPerf RE'!E17+'A4-FinPerf RE'!E18+'A4-FinPerf RE'!E20+'A4-FinPerf RE'!E21</f>
        <v>22333282.289700001</v>
      </c>
      <c r="E9" s="209">
        <f>'A4-FinPerf RE'!F12+'A4-FinPerf RE'!F14+'A4-FinPerf RE'!F15+'A4-FinPerf RE'!F16+'A4-FinPerf RE'!F17+'A4-FinPerf RE'!F18+'A4-FinPerf RE'!F20+'A4-FinPerf RE'!F21</f>
        <v>19419060</v>
      </c>
      <c r="F9" s="205">
        <f>'A4-FinPerf RE'!G12+'A4-FinPerf RE'!G14+'A4-FinPerf RE'!G15+'A4-FinPerf RE'!G16+'A4-FinPerf RE'!G17+'A4-FinPerf RE'!G18+'A4-FinPerf RE'!G20+'A4-FinPerf RE'!G21</f>
        <v>20029950</v>
      </c>
      <c r="G9" s="475">
        <f>'A4-FinPerf RE'!H12+'A4-FinPerf RE'!H14+'A4-FinPerf RE'!H15+'A4-FinPerf RE'!H16+'A4-FinPerf RE'!H17+'A4-FinPerf RE'!H18+'A4-FinPerf RE'!H20+'A4-FinPerf RE'!H21</f>
        <v>20029950</v>
      </c>
      <c r="H9" s="208">
        <f>'A4-FinPerf RE'!I12+'A4-FinPerf RE'!I14+'A4-FinPerf RE'!I15+'A4-FinPerf RE'!I16+'A4-FinPerf RE'!I17+'A4-FinPerf RE'!I18+'A4-FinPerf RE'!I20+'A4-FinPerf RE'!I21</f>
        <v>20029950</v>
      </c>
      <c r="I9" s="209">
        <f>'A4-FinPerf RE'!J12+'A4-FinPerf RE'!J14+'A4-FinPerf RE'!J15+'A4-FinPerf RE'!J16+'A4-FinPerf RE'!J17+'A4-FinPerf RE'!J18+'A4-FinPerf RE'!J20+'A4-FinPerf RE'!J21</f>
        <v>22441454.845714286</v>
      </c>
      <c r="J9" s="205">
        <f>'A4-FinPerf RE'!K12+'A4-FinPerf RE'!K14+'A4-FinPerf RE'!K15+'A4-FinPerf RE'!K16+'A4-FinPerf RE'!K17+'A4-FinPerf RE'!K18+'A4-FinPerf RE'!K20+'A4-FinPerf RE'!K21</f>
        <v>23787942.136457141</v>
      </c>
      <c r="K9" s="475">
        <f>'A4-FinPerf RE'!L12+'A4-FinPerf RE'!L14+'A4-FinPerf RE'!L15+'A4-FinPerf RE'!L16+'A4-FinPerf RE'!L17+'A4-FinPerf RE'!L18+'A4-FinPerf RE'!L20+'A4-FinPerf RE'!L21</f>
        <v>25215218.664644569</v>
      </c>
    </row>
    <row r="10" spans="1:12" ht="25.5" customHeight="1" x14ac:dyDescent="0.25">
      <c r="A10" s="282" t="str">
        <f>'A4-FinPerf RE'!A22</f>
        <v>Total Revenue (excluding capital transfers and contributions)</v>
      </c>
      <c r="B10" s="1077">
        <f t="shared" ref="B10:K10" si="0">SUM(B5:B9)</f>
        <v>63290072.241141275</v>
      </c>
      <c r="C10" s="1077">
        <f t="shared" si="0"/>
        <v>49785921.960312948</v>
      </c>
      <c r="D10" s="1078">
        <f t="shared" si="0"/>
        <v>57439888.047871962</v>
      </c>
      <c r="E10" s="1076">
        <f t="shared" si="0"/>
        <v>53204973.8486</v>
      </c>
      <c r="F10" s="1077">
        <f t="shared" si="0"/>
        <v>57884591</v>
      </c>
      <c r="G10" s="1079">
        <f t="shared" si="0"/>
        <v>57884591</v>
      </c>
      <c r="H10" s="1080">
        <f t="shared" si="0"/>
        <v>57884591</v>
      </c>
      <c r="I10" s="1076">
        <f t="shared" si="0"/>
        <v>71196920.062484264</v>
      </c>
      <c r="J10" s="1077">
        <f t="shared" si="0"/>
        <v>76073435.266233325</v>
      </c>
      <c r="K10" s="1079">
        <f t="shared" si="0"/>
        <v>80932241.376207322</v>
      </c>
    </row>
    <row r="11" spans="1:12" ht="11.25" customHeight="1" x14ac:dyDescent="0.25">
      <c r="A11" s="713" t="s">
        <v>495</v>
      </c>
      <c r="B11" s="205">
        <f>'A4-FinPerf RE'!C25</f>
        <v>11824406</v>
      </c>
      <c r="C11" s="205">
        <f>'A4-FinPerf RE'!D25</f>
        <v>13211037.769999998</v>
      </c>
      <c r="D11" s="474">
        <f>'A4-FinPerf RE'!E25</f>
        <v>17230064.529999997</v>
      </c>
      <c r="E11" s="209">
        <f>'A4-FinPerf RE'!F25</f>
        <v>23278806</v>
      </c>
      <c r="F11" s="205">
        <f>'A4-FinPerf RE'!G25</f>
        <v>24455582</v>
      </c>
      <c r="G11" s="475">
        <f>'A4-FinPerf RE'!H25</f>
        <v>24455582</v>
      </c>
      <c r="H11" s="208">
        <f>'A4-FinPerf RE'!I25</f>
        <v>24455582</v>
      </c>
      <c r="I11" s="209">
        <f>'A4-FinPerf RE'!J25</f>
        <v>28605520.959159125</v>
      </c>
      <c r="J11" s="205">
        <f>'A4-FinPerf RE'!K25</f>
        <v>30321852.216708675</v>
      </c>
      <c r="K11" s="475">
        <f>'A4-FinPerf RE'!L25</f>
        <v>32141163.349711191</v>
      </c>
    </row>
    <row r="12" spans="1:12" ht="11.25" customHeight="1" x14ac:dyDescent="0.25">
      <c r="A12" s="713" t="s">
        <v>532</v>
      </c>
      <c r="B12" s="205">
        <f>'A4-FinPerf RE'!C26</f>
        <v>1583008</v>
      </c>
      <c r="C12" s="205">
        <f>'A4-FinPerf RE'!D26</f>
        <v>1693387.8599999999</v>
      </c>
      <c r="D12" s="474">
        <f>'A4-FinPerf RE'!E26</f>
        <v>1752471.87</v>
      </c>
      <c r="E12" s="209">
        <f>'A4-FinPerf RE'!F26</f>
        <v>1850000</v>
      </c>
      <c r="F12" s="205">
        <f>'A4-FinPerf RE'!G26</f>
        <v>2049548</v>
      </c>
      <c r="G12" s="475">
        <f>'A4-FinPerf RE'!H26</f>
        <v>2049548</v>
      </c>
      <c r="H12" s="208">
        <f>'A4-FinPerf RE'!I26</f>
        <v>2049548</v>
      </c>
      <c r="I12" s="209">
        <f>'A4-FinPerf RE'!J26</f>
        <v>2030463.0288000004</v>
      </c>
      <c r="J12" s="205">
        <f>'A4-FinPerf RE'!K26</f>
        <v>2152290.8105280004</v>
      </c>
      <c r="K12" s="475">
        <f>'A4-FinPerf RE'!L26</f>
        <v>2281428.2591596809</v>
      </c>
    </row>
    <row r="13" spans="1:12" ht="11.25" customHeight="1" x14ac:dyDescent="0.25">
      <c r="A13" s="713" t="s">
        <v>1503</v>
      </c>
      <c r="B13" s="205">
        <f>'A4-FinPerf RE'!C28</f>
        <v>4025720.9765738035</v>
      </c>
      <c r="C13" s="205">
        <f>'A4-FinPerf RE'!D28</f>
        <v>5134591.4269657983</v>
      </c>
      <c r="D13" s="474">
        <f>'A4-FinPerf RE'!E28</f>
        <v>5329449.4785402957</v>
      </c>
      <c r="E13" s="209">
        <f>'A4-FinPerf RE'!F28</f>
        <v>5357533</v>
      </c>
      <c r="F13" s="205">
        <f>'A4-FinPerf RE'!G28</f>
        <v>5357533</v>
      </c>
      <c r="G13" s="475">
        <f>'A4-FinPerf RE'!H28</f>
        <v>5357533</v>
      </c>
      <c r="H13" s="208">
        <f>'A4-FinPerf RE'!I28</f>
        <v>5357533</v>
      </c>
      <c r="I13" s="209">
        <f>'A4-FinPerf RE'!J28</f>
        <v>5723968.540000001</v>
      </c>
      <c r="J13" s="205">
        <f>'A4-FinPerf RE'!K28</f>
        <v>6067370.652400001</v>
      </c>
      <c r="K13" s="475">
        <f>'A4-FinPerf RE'!L28</f>
        <v>6431376.8915440002</v>
      </c>
    </row>
    <row r="14" spans="1:12" ht="11.25" customHeight="1" x14ac:dyDescent="0.25">
      <c r="A14" s="713" t="s">
        <v>1565</v>
      </c>
      <c r="B14" s="205">
        <f>'A4-FinPerf RE'!C29</f>
        <v>601015.97</v>
      </c>
      <c r="C14" s="205">
        <f>'A4-FinPerf RE'!D29</f>
        <v>942690.57152789168</v>
      </c>
      <c r="D14" s="474">
        <f>'A4-FinPerf RE'!E29</f>
        <v>907385.78726348281</v>
      </c>
      <c r="E14" s="209">
        <f>'A4-FinPerf RE'!F29</f>
        <v>453000</v>
      </c>
      <c r="F14" s="205">
        <f>'A4-FinPerf RE'!G29</f>
        <v>486000</v>
      </c>
      <c r="G14" s="475">
        <f>'A4-FinPerf RE'!H29</f>
        <v>486000</v>
      </c>
      <c r="H14" s="208">
        <f>'A4-FinPerf RE'!I29</f>
        <v>486000</v>
      </c>
      <c r="I14" s="209">
        <f>'A4-FinPerf RE'!J29</f>
        <v>650360</v>
      </c>
      <c r="J14" s="205">
        <f>'A4-FinPerf RE'!K29</f>
        <v>689381.60000000009</v>
      </c>
      <c r="K14" s="475">
        <f>'A4-FinPerf RE'!L29</f>
        <v>730744.49600000004</v>
      </c>
    </row>
    <row r="15" spans="1:12" ht="11.25" customHeight="1" x14ac:dyDescent="0.25">
      <c r="A15" s="713" t="s">
        <v>502</v>
      </c>
      <c r="B15" s="205">
        <f>'A4-FinPerf RE'!C30+'A4-FinPerf RE'!C31</f>
        <v>4344688.4399999995</v>
      </c>
      <c r="C15" s="205">
        <f>'A4-FinPerf RE'!D30+'A4-FinPerf RE'!D31</f>
        <v>5984190.2699999996</v>
      </c>
      <c r="D15" s="474">
        <f>'A4-FinPerf RE'!E30+'A4-FinPerf RE'!E31</f>
        <v>7539314.1800000006</v>
      </c>
      <c r="E15" s="209">
        <f>'A4-FinPerf RE'!F30+'A4-FinPerf RE'!F31</f>
        <v>8450000</v>
      </c>
      <c r="F15" s="205">
        <f>'A4-FinPerf RE'!G30+'A4-FinPerf RE'!G31</f>
        <v>10138400</v>
      </c>
      <c r="G15" s="475">
        <f>'A4-FinPerf RE'!H30+'A4-FinPerf RE'!H31</f>
        <v>10138400</v>
      </c>
      <c r="H15" s="208">
        <f>'A4-FinPerf RE'!I30+'A4-FinPerf RE'!I31</f>
        <v>10138400</v>
      </c>
      <c r="I15" s="209">
        <f>'A4-FinPerf RE'!J30+'A4-FinPerf RE'!J31</f>
        <v>9317470</v>
      </c>
      <c r="J15" s="205">
        <f>'A4-FinPerf RE'!K30+'A4-FinPerf RE'!K31</f>
        <v>9876518.2000000011</v>
      </c>
      <c r="K15" s="475">
        <f>'A4-FinPerf RE'!L30+'A4-FinPerf RE'!L31</f>
        <v>10469109.292000001</v>
      </c>
    </row>
    <row r="16" spans="1:12" ht="11.25" customHeight="1" x14ac:dyDescent="0.25">
      <c r="A16" s="1245" t="s">
        <v>789</v>
      </c>
      <c r="B16" s="205">
        <f>'A4-FinPerf RE'!C33</f>
        <v>3404607.72</v>
      </c>
      <c r="C16" s="205">
        <f>'A4-FinPerf RE'!D33</f>
        <v>1287445</v>
      </c>
      <c r="D16" s="474">
        <f>'A4-FinPerf RE'!E33</f>
        <v>4564176</v>
      </c>
      <c r="E16" s="209">
        <f>'A4-FinPerf RE'!F33</f>
        <v>3483076</v>
      </c>
      <c r="F16" s="205">
        <f>'A4-FinPerf RE'!G33</f>
        <v>3558106.1428571427</v>
      </c>
      <c r="G16" s="475">
        <f>'A4-FinPerf RE'!H33</f>
        <v>3558106.1428571427</v>
      </c>
      <c r="H16" s="208">
        <f>'A4-FinPerf RE'!I33</f>
        <v>3558106.1428571427</v>
      </c>
      <c r="I16" s="209">
        <f>'A4-FinPerf RE'!J33</f>
        <v>4985825.6831999999</v>
      </c>
      <c r="J16" s="205">
        <f>'A4-FinPerf RE'!K33</f>
        <v>5284975.224192</v>
      </c>
      <c r="K16" s="475">
        <f>'A4-FinPerf RE'!L33</f>
        <v>5602073.7376435203</v>
      </c>
    </row>
    <row r="17" spans="1:12" ht="11.25" customHeight="1" x14ac:dyDescent="0.25">
      <c r="A17" s="713" t="s">
        <v>960</v>
      </c>
      <c r="B17" s="205">
        <f>'A4-FinPerf RE'!C27+'A4-FinPerf RE'!C32+'A4-FinPerf RE'!C34+'A4-FinPerf RE'!C35</f>
        <v>25995845.380000003</v>
      </c>
      <c r="C17" s="205">
        <f>'A4-FinPerf RE'!D27+'A4-FinPerf RE'!D32+'A4-FinPerf RE'!D34+'A4-FinPerf RE'!D35</f>
        <v>30946354.101700075</v>
      </c>
      <c r="D17" s="474">
        <f>'A4-FinPerf RE'!E27+'A4-FinPerf RE'!E32+'A4-FinPerf RE'!E34+'A4-FinPerf RE'!E35</f>
        <v>29617968.410000004</v>
      </c>
      <c r="E17" s="209">
        <f>'A4-FinPerf RE'!F27+'A4-FinPerf RE'!F32+'A4-FinPerf RE'!F34+'A4-FinPerf RE'!F35</f>
        <v>27000149.549387999</v>
      </c>
      <c r="F17" s="205">
        <f>'A4-FinPerf RE'!G27+'A4-FinPerf RE'!G32+'A4-FinPerf RE'!G34+'A4-FinPerf RE'!G35</f>
        <v>36759975.142857142</v>
      </c>
      <c r="G17" s="475">
        <f>'A4-FinPerf RE'!H27+'A4-FinPerf RE'!H32+'A4-FinPerf RE'!H34+'A4-FinPerf RE'!H35</f>
        <v>36759975.142857142</v>
      </c>
      <c r="H17" s="208">
        <f>'A4-FinPerf RE'!I27+'A4-FinPerf RE'!I32+'A4-FinPerf RE'!I34+'A4-FinPerf RE'!I35</f>
        <v>36759975.142857142</v>
      </c>
      <c r="I17" s="209">
        <f>'A4-FinPerf RE'!J27+'A4-FinPerf RE'!J32+'A4-FinPerf RE'!J34+'A4-FinPerf RE'!J35</f>
        <v>34984178.873172</v>
      </c>
      <c r="J17" s="205">
        <f>'A4-FinPerf RE'!K27+'A4-FinPerf RE'!K32+'A4-FinPerf RE'!K34+'A4-FinPerf RE'!K35</f>
        <v>34760229.605562322</v>
      </c>
      <c r="K17" s="475">
        <f>'A4-FinPerf RE'!L27+'A4-FinPerf RE'!L32+'A4-FinPerf RE'!L34+'A4-FinPerf RE'!L35</f>
        <v>36962243.381896064</v>
      </c>
    </row>
    <row r="18" spans="1:12" ht="11.25" customHeight="1" x14ac:dyDescent="0.25">
      <c r="A18" s="714" t="str">
        <f>'A4-FinPerf RE'!A36</f>
        <v>Total Expenditure</v>
      </c>
      <c r="B18" s="1054">
        <f>SUM(B11:B17)</f>
        <v>51779292.4865738</v>
      </c>
      <c r="C18" s="1055">
        <f t="shared" ref="C18:K18" si="1">SUM(C11:C17)</f>
        <v>59199697.00019376</v>
      </c>
      <c r="D18" s="1056">
        <f t="shared" si="1"/>
        <v>66940830.255803779</v>
      </c>
      <c r="E18" s="1054">
        <f t="shared" si="1"/>
        <v>69872564.549387991</v>
      </c>
      <c r="F18" s="1055">
        <f t="shared" si="1"/>
        <v>82805144.285714284</v>
      </c>
      <c r="G18" s="1057">
        <f t="shared" si="1"/>
        <v>82805144.285714284</v>
      </c>
      <c r="H18" s="1058">
        <f t="shared" si="1"/>
        <v>82805144.285714284</v>
      </c>
      <c r="I18" s="1054">
        <f t="shared" si="1"/>
        <v>86297787.084331125</v>
      </c>
      <c r="J18" s="1055">
        <f t="shared" si="1"/>
        <v>89152618.309390992</v>
      </c>
      <c r="K18" s="1057">
        <f t="shared" si="1"/>
        <v>94618139.407954454</v>
      </c>
    </row>
    <row r="19" spans="1:12" ht="11.25" customHeight="1" x14ac:dyDescent="0.25">
      <c r="A19" s="714" t="str">
        <f>'A4-FinPerf RE'!A38</f>
        <v>Surplus/(Deficit)</v>
      </c>
      <c r="B19" s="1050">
        <f t="shared" ref="B19:K19" si="2">B10-B18</f>
        <v>11510779.754567474</v>
      </c>
      <c r="C19" s="333">
        <f t="shared" si="2"/>
        <v>-9413775.0398808122</v>
      </c>
      <c r="D19" s="1051">
        <f t="shared" si="2"/>
        <v>-9500942.2079318166</v>
      </c>
      <c r="E19" s="1050">
        <f t="shared" si="2"/>
        <v>-16667590.700787991</v>
      </c>
      <c r="F19" s="333">
        <f t="shared" si="2"/>
        <v>-24920553.285714284</v>
      </c>
      <c r="G19" s="1052">
        <f t="shared" si="2"/>
        <v>-24920553.285714284</v>
      </c>
      <c r="H19" s="1053">
        <f t="shared" si="2"/>
        <v>-24920553.285714284</v>
      </c>
      <c r="I19" s="1050">
        <f t="shared" si="2"/>
        <v>-15100867.021846861</v>
      </c>
      <c r="J19" s="333">
        <f t="shared" si="2"/>
        <v>-13079183.043157667</v>
      </c>
      <c r="K19" s="1052">
        <f t="shared" si="2"/>
        <v>-13685898.031747133</v>
      </c>
    </row>
    <row r="20" spans="1:12" ht="11.25" customHeight="1" x14ac:dyDescent="0.25">
      <c r="A20" s="713" t="str">
        <f>'A4-FinPerf RE'!A39</f>
        <v>Transfers recognised - capital</v>
      </c>
      <c r="B20" s="209">
        <f>'A4-FinPerf RE'!C39</f>
        <v>6593235.0200000005</v>
      </c>
      <c r="C20" s="205">
        <f>'A4-FinPerf RE'!D39</f>
        <v>13065498.3018</v>
      </c>
      <c r="D20" s="474">
        <f>'A4-FinPerf RE'!E39</f>
        <v>3430273</v>
      </c>
      <c r="E20" s="209">
        <f>'A4-FinPerf RE'!F39</f>
        <v>9488000</v>
      </c>
      <c r="F20" s="205">
        <f>'A4-FinPerf RE'!G39</f>
        <v>9488000</v>
      </c>
      <c r="G20" s="475">
        <f>'A4-FinPerf RE'!H39</f>
        <v>9488000</v>
      </c>
      <c r="H20" s="208">
        <f>'A4-FinPerf RE'!I39</f>
        <v>9488000</v>
      </c>
      <c r="I20" s="209">
        <f>'A4-FinPerf RE'!J39</f>
        <v>11510000</v>
      </c>
      <c r="J20" s="205">
        <f>'A4-FinPerf RE'!K39</f>
        <v>12141000</v>
      </c>
      <c r="K20" s="475">
        <f>'A4-FinPerf RE'!L39</f>
        <v>12843000</v>
      </c>
      <c r="L20" s="338"/>
    </row>
    <row r="21" spans="1:12" ht="11.25" customHeight="1" x14ac:dyDescent="0.25">
      <c r="A21" s="713" t="s">
        <v>36</v>
      </c>
      <c r="B21" s="1059">
        <f>'A4-FinPerf RE'!C40+'A4-FinPerf RE'!C41</f>
        <v>0</v>
      </c>
      <c r="C21" s="1060">
        <f>'A4-FinPerf RE'!D40+'A4-FinPerf RE'!D41</f>
        <v>0</v>
      </c>
      <c r="D21" s="1061">
        <f>'A4-FinPerf RE'!E40+'A4-FinPerf RE'!E41</f>
        <v>0</v>
      </c>
      <c r="E21" s="1059">
        <f>'A4-FinPerf RE'!F40+'A4-FinPerf RE'!F41</f>
        <v>0</v>
      </c>
      <c r="F21" s="1060">
        <f>'A4-FinPerf RE'!G40+'A4-FinPerf RE'!G41</f>
        <v>0</v>
      </c>
      <c r="G21" s="1062">
        <f>'A4-FinPerf RE'!H40+'A4-FinPerf RE'!H41</f>
        <v>0</v>
      </c>
      <c r="H21" s="1063">
        <f>'A4-FinPerf RE'!I40+'A4-FinPerf RE'!I41</f>
        <v>0</v>
      </c>
      <c r="I21" s="1059">
        <f>'A4-FinPerf RE'!J40+'A4-FinPerf RE'!J41</f>
        <v>0</v>
      </c>
      <c r="J21" s="1060">
        <f>'A4-FinPerf RE'!K40+'A4-FinPerf RE'!K41</f>
        <v>0</v>
      </c>
      <c r="K21" s="1062">
        <f>'A4-FinPerf RE'!L40+'A4-FinPerf RE'!L41</f>
        <v>0</v>
      </c>
      <c r="L21" s="338"/>
    </row>
    <row r="22" spans="1:12" ht="25.5" x14ac:dyDescent="0.25">
      <c r="A22" s="934" t="str">
        <f>'A4-FinPerf RE'!A42</f>
        <v>Surplus/(Deficit) after capital transfers &amp; contributions</v>
      </c>
      <c r="B22" s="1089">
        <f>B19+SUM(B20:B21)</f>
        <v>18104014.774567474</v>
      </c>
      <c r="C22" s="1090">
        <f t="shared" ref="C22:K22" si="3">C19+SUM(C20:C21)</f>
        <v>3651723.2619191874</v>
      </c>
      <c r="D22" s="1091">
        <f t="shared" si="3"/>
        <v>-6070669.2079318166</v>
      </c>
      <c r="E22" s="1089">
        <f t="shared" si="3"/>
        <v>-7179590.7007879913</v>
      </c>
      <c r="F22" s="1090">
        <f t="shared" si="3"/>
        <v>-15432553.285714284</v>
      </c>
      <c r="G22" s="1092">
        <f t="shared" si="3"/>
        <v>-15432553.285714284</v>
      </c>
      <c r="H22" s="1093">
        <f t="shared" si="3"/>
        <v>-15432553.285714284</v>
      </c>
      <c r="I22" s="1089">
        <f t="shared" si="3"/>
        <v>-3590867.0218468606</v>
      </c>
      <c r="J22" s="1090">
        <f t="shared" si="3"/>
        <v>-938183.04315766692</v>
      </c>
      <c r="K22" s="1092">
        <f t="shared" si="3"/>
        <v>-842898.03174713254</v>
      </c>
      <c r="L22" s="338"/>
    </row>
    <row r="23" spans="1:12" x14ac:dyDescent="0.25">
      <c r="A23" s="935" t="str">
        <f>'A4-FinPerf RE'!A47</f>
        <v>Share of surplus/ (deficit) of associate</v>
      </c>
      <c r="B23" s="205">
        <f>'A4-FinPerf RE'!C47</f>
        <v>0</v>
      </c>
      <c r="C23" s="205">
        <f>'A4-FinPerf RE'!D47</f>
        <v>0</v>
      </c>
      <c r="D23" s="474">
        <f>'A4-FinPerf RE'!E47</f>
        <v>0</v>
      </c>
      <c r="E23" s="209">
        <f>'A4-FinPerf RE'!F47</f>
        <v>0</v>
      </c>
      <c r="F23" s="205">
        <f>'A4-FinPerf RE'!G47</f>
        <v>0</v>
      </c>
      <c r="G23" s="475">
        <f>'A4-FinPerf RE'!H47</f>
        <v>0</v>
      </c>
      <c r="H23" s="208">
        <f>'A4-FinPerf RE'!I47</f>
        <v>0</v>
      </c>
      <c r="I23" s="209">
        <f>'A4-FinPerf RE'!J47</f>
        <v>0</v>
      </c>
      <c r="J23" s="205">
        <f>'A4-FinPerf RE'!K47</f>
        <v>0</v>
      </c>
      <c r="K23" s="475">
        <f>'A4-FinPerf RE'!L47</f>
        <v>0</v>
      </c>
    </row>
    <row r="24" spans="1:12" x14ac:dyDescent="0.25">
      <c r="A24" s="934" t="str">
        <f>'A4-FinPerf RE'!A48</f>
        <v>Surplus/(Deficit) for the year</v>
      </c>
      <c r="B24" s="1050">
        <f>B22+B23</f>
        <v>18104014.774567474</v>
      </c>
      <c r="C24" s="333">
        <f t="shared" ref="C24:K24" si="4">C22+C23</f>
        <v>3651723.2619191874</v>
      </c>
      <c r="D24" s="1051">
        <f t="shared" si="4"/>
        <v>-6070669.2079318166</v>
      </c>
      <c r="E24" s="1050">
        <f t="shared" si="4"/>
        <v>-7179590.7007879913</v>
      </c>
      <c r="F24" s="333">
        <f t="shared" si="4"/>
        <v>-15432553.285714284</v>
      </c>
      <c r="G24" s="1052">
        <f t="shared" si="4"/>
        <v>-15432553.285714284</v>
      </c>
      <c r="H24" s="1053">
        <f t="shared" si="4"/>
        <v>-15432553.285714284</v>
      </c>
      <c r="I24" s="1050">
        <f t="shared" si="4"/>
        <v>-3590867.0218468606</v>
      </c>
      <c r="J24" s="333">
        <f t="shared" si="4"/>
        <v>-938183.04315766692</v>
      </c>
      <c r="K24" s="1052">
        <f t="shared" si="4"/>
        <v>-842898.03174713254</v>
      </c>
    </row>
    <row r="25" spans="1:12" ht="5.0999999999999996" customHeight="1" x14ac:dyDescent="0.25">
      <c r="A25" s="936"/>
      <c r="B25" s="157"/>
      <c r="C25" s="158"/>
      <c r="D25" s="159"/>
      <c r="E25" s="157"/>
      <c r="F25" s="158"/>
      <c r="G25" s="159"/>
      <c r="H25" s="160"/>
      <c r="I25" s="157"/>
      <c r="J25" s="158"/>
      <c r="K25" s="159"/>
    </row>
    <row r="26" spans="1:12" ht="11.25" customHeight="1" x14ac:dyDescent="0.25">
      <c r="A26" s="710" t="s">
        <v>1072</v>
      </c>
      <c r="B26" s="164"/>
      <c r="C26" s="165"/>
      <c r="D26" s="166"/>
      <c r="E26" s="164"/>
      <c r="F26" s="165"/>
      <c r="G26" s="166"/>
      <c r="H26" s="167"/>
      <c r="I26" s="164"/>
      <c r="J26" s="165"/>
      <c r="K26" s="166"/>
    </row>
    <row r="27" spans="1:12" ht="11.25" customHeight="1" x14ac:dyDescent="0.25">
      <c r="A27" s="714" t="s">
        <v>1516</v>
      </c>
      <c r="B27" s="903">
        <f>'A5-Capex'!C63</f>
        <v>16811861</v>
      </c>
      <c r="C27" s="205">
        <f>'A5-Capex'!D63</f>
        <v>15704226.649999999</v>
      </c>
      <c r="D27" s="474">
        <f>'A5-Capex'!E63</f>
        <v>6146772.8300000001</v>
      </c>
      <c r="E27" s="209">
        <f>'A5-Capex'!F63</f>
        <v>9488000</v>
      </c>
      <c r="F27" s="205">
        <f>'A5-Capex'!G63</f>
        <v>9780000</v>
      </c>
      <c r="G27" s="475">
        <f>'A5-Capex'!H63</f>
        <v>9780000</v>
      </c>
      <c r="H27" s="208">
        <f>'A5-Capex'!I63</f>
        <v>9780000</v>
      </c>
      <c r="I27" s="209">
        <f>'A5-Capex'!J63</f>
        <v>12965000</v>
      </c>
      <c r="J27" s="205">
        <f>'A5-Capex'!K63</f>
        <v>14492300</v>
      </c>
      <c r="K27" s="475">
        <f>'A5-Capex'!L63</f>
        <v>14477838</v>
      </c>
    </row>
    <row r="28" spans="1:12" ht="11.25" customHeight="1" x14ac:dyDescent="0.25">
      <c r="A28" s="1246" t="s">
        <v>1352</v>
      </c>
      <c r="B28" s="903">
        <f>'A5-Capex'!C70</f>
        <v>6593235.0200000005</v>
      </c>
      <c r="C28" s="205">
        <f>'A5-Capex'!D70</f>
        <v>13065498.3018</v>
      </c>
      <c r="D28" s="474">
        <f>'A5-Capex'!E70</f>
        <v>3430273</v>
      </c>
      <c r="E28" s="209">
        <f>'A5-Capex'!F70</f>
        <v>9488000</v>
      </c>
      <c r="F28" s="205">
        <f>'A5-Capex'!G70</f>
        <v>9488000</v>
      </c>
      <c r="G28" s="475">
        <f>'A5-Capex'!H70</f>
        <v>9488000</v>
      </c>
      <c r="H28" s="208">
        <f>'A5-Capex'!I70</f>
        <v>9488000</v>
      </c>
      <c r="I28" s="209">
        <f>'A5-Capex'!J70</f>
        <v>11510000</v>
      </c>
      <c r="J28" s="205">
        <f>'A5-Capex'!K70</f>
        <v>12141000</v>
      </c>
      <c r="K28" s="475">
        <f>'A5-Capex'!L70</f>
        <v>12843000</v>
      </c>
    </row>
    <row r="29" spans="1:12" ht="11.25" customHeight="1" x14ac:dyDescent="0.25">
      <c r="A29" s="713" t="str">
        <f>'A5-Capex'!A71</f>
        <v>Public contributions &amp; donations</v>
      </c>
      <c r="B29" s="903">
        <f>'A5-Capex'!C71</f>
        <v>0</v>
      </c>
      <c r="C29" s="205">
        <f>'A5-Capex'!D71</f>
        <v>0</v>
      </c>
      <c r="D29" s="474">
        <f>'A5-Capex'!E71</f>
        <v>0</v>
      </c>
      <c r="E29" s="209">
        <f>'A5-Capex'!F71</f>
        <v>0</v>
      </c>
      <c r="F29" s="205">
        <f>'A5-Capex'!G71</f>
        <v>0</v>
      </c>
      <c r="G29" s="475">
        <f>'A5-Capex'!H71</f>
        <v>0</v>
      </c>
      <c r="H29" s="208">
        <f>'A5-Capex'!I71</f>
        <v>0</v>
      </c>
      <c r="I29" s="209">
        <f>'A5-Capex'!J71</f>
        <v>0</v>
      </c>
      <c r="J29" s="205">
        <f>'A5-Capex'!K71</f>
        <v>0</v>
      </c>
      <c r="K29" s="475">
        <f>'A5-Capex'!L71</f>
        <v>0</v>
      </c>
    </row>
    <row r="30" spans="1:12" ht="11.25" customHeight="1" x14ac:dyDescent="0.25">
      <c r="A30" s="713" t="str">
        <f>'A5-Capex'!A72</f>
        <v>Borrowing</v>
      </c>
      <c r="B30" s="903">
        <f>'A5-Capex'!C72</f>
        <v>0</v>
      </c>
      <c r="C30" s="205">
        <f>'A5-Capex'!D72</f>
        <v>177073.18025855755</v>
      </c>
      <c r="D30" s="474">
        <f>'A5-Capex'!E72</f>
        <v>0</v>
      </c>
      <c r="E30" s="209">
        <f>'A5-Capex'!F72</f>
        <v>0</v>
      </c>
      <c r="F30" s="205">
        <f>'A5-Capex'!G72</f>
        <v>0</v>
      </c>
      <c r="G30" s="475">
        <f>'A5-Capex'!H72</f>
        <v>0</v>
      </c>
      <c r="H30" s="208">
        <f>'A5-Capex'!I72</f>
        <v>0</v>
      </c>
      <c r="I30" s="209">
        <f>'A5-Capex'!J72</f>
        <v>0</v>
      </c>
      <c r="J30" s="205">
        <f>'A5-Capex'!K72</f>
        <v>0</v>
      </c>
      <c r="K30" s="475">
        <f>'A5-Capex'!L72</f>
        <v>0</v>
      </c>
    </row>
    <row r="31" spans="1:12" ht="11.25" customHeight="1" x14ac:dyDescent="0.25">
      <c r="A31" s="713" t="str">
        <f>'A5-Capex'!A73</f>
        <v>Internally generated funds</v>
      </c>
      <c r="B31" s="903">
        <f>'A5-Capex'!C73</f>
        <v>10218625.98</v>
      </c>
      <c r="C31" s="205">
        <f>'A5-Capex'!D73</f>
        <v>2461655.1679414413</v>
      </c>
      <c r="D31" s="474">
        <f>'A5-Capex'!E73</f>
        <v>2716499.83</v>
      </c>
      <c r="E31" s="209">
        <f>'A5-Capex'!F73</f>
        <v>0</v>
      </c>
      <c r="F31" s="205">
        <f>'A5-Capex'!G73</f>
        <v>292000</v>
      </c>
      <c r="G31" s="475">
        <f>'A5-Capex'!H73</f>
        <v>292000</v>
      </c>
      <c r="H31" s="208">
        <f>'A5-Capex'!I73</f>
        <v>292000</v>
      </c>
      <c r="I31" s="209">
        <f>'A5-Capex'!J73</f>
        <v>1455000</v>
      </c>
      <c r="J31" s="205">
        <f>'A5-Capex'!K73</f>
        <v>2351300</v>
      </c>
      <c r="K31" s="475">
        <f>'A5-Capex'!L73</f>
        <v>1634838</v>
      </c>
    </row>
    <row r="32" spans="1:12" s="241" customFormat="1" ht="11.25" customHeight="1" x14ac:dyDescent="0.25">
      <c r="A32" s="714" t="s">
        <v>396</v>
      </c>
      <c r="B32" s="903">
        <f t="shared" ref="B32:K32" si="5">SUM(B28:B31)</f>
        <v>16811861</v>
      </c>
      <c r="C32" s="205">
        <f t="shared" si="5"/>
        <v>15704226.649999999</v>
      </c>
      <c r="D32" s="474">
        <f t="shared" si="5"/>
        <v>6146772.8300000001</v>
      </c>
      <c r="E32" s="209">
        <f t="shared" si="5"/>
        <v>9488000</v>
      </c>
      <c r="F32" s="205">
        <f t="shared" si="5"/>
        <v>9780000</v>
      </c>
      <c r="G32" s="475">
        <f t="shared" si="5"/>
        <v>9780000</v>
      </c>
      <c r="H32" s="208">
        <f t="shared" si="5"/>
        <v>9780000</v>
      </c>
      <c r="I32" s="209">
        <f t="shared" si="5"/>
        <v>12965000</v>
      </c>
      <c r="J32" s="205">
        <f t="shared" si="5"/>
        <v>14492300</v>
      </c>
      <c r="K32" s="475">
        <f t="shared" si="5"/>
        <v>14477838</v>
      </c>
    </row>
    <row r="33" spans="1:15" ht="5.0999999999999996" customHeight="1" x14ac:dyDescent="0.25">
      <c r="A33" s="714"/>
      <c r="B33" s="168"/>
      <c r="C33" s="169"/>
      <c r="D33" s="170"/>
      <c r="E33" s="168"/>
      <c r="F33" s="169"/>
      <c r="G33" s="170"/>
      <c r="H33" s="171"/>
      <c r="I33" s="168"/>
      <c r="J33" s="169"/>
      <c r="K33" s="170"/>
      <c r="O33" s="241"/>
    </row>
    <row r="34" spans="1:15" ht="11.25" customHeight="1" x14ac:dyDescent="0.25">
      <c r="A34" s="710" t="s">
        <v>203</v>
      </c>
      <c r="B34" s="164"/>
      <c r="C34" s="165"/>
      <c r="D34" s="166"/>
      <c r="E34" s="164"/>
      <c r="F34" s="165"/>
      <c r="G34" s="166"/>
      <c r="H34" s="167"/>
      <c r="I34" s="164"/>
      <c r="J34" s="165"/>
      <c r="K34" s="166"/>
      <c r="O34" s="241"/>
    </row>
    <row r="35" spans="1:15" ht="11.25" customHeight="1" x14ac:dyDescent="0.25">
      <c r="A35" s="713" t="str">
        <f>'A6-FinPos'!A12</f>
        <v>Total current assets</v>
      </c>
      <c r="B35" s="903">
        <f>'A6-FinPos'!C12</f>
        <v>12913431.310000001</v>
      </c>
      <c r="C35" s="205">
        <f>'A6-FinPos'!D12</f>
        <v>11019347.76</v>
      </c>
      <c r="D35" s="474">
        <f>'A6-FinPos'!E12</f>
        <v>7529528.0700000003</v>
      </c>
      <c r="E35" s="209">
        <f>'A6-FinPos'!F12</f>
        <v>23658435.223000005</v>
      </c>
      <c r="F35" s="205">
        <f>'A6-FinPos'!G12</f>
        <v>2092486.3499999759</v>
      </c>
      <c r="G35" s="475">
        <f>'A6-FinPos'!H12</f>
        <v>2092486.3499999759</v>
      </c>
      <c r="H35" s="208">
        <f>'A6-FinPos'!I12</f>
        <v>2092486.3499999759</v>
      </c>
      <c r="I35" s="209">
        <f>'A6-FinPos'!J12</f>
        <v>2052568.5040000002</v>
      </c>
      <c r="J35" s="205">
        <f>'A6-FinPos'!K12</f>
        <v>2173699.13216</v>
      </c>
      <c r="K35" s="475">
        <f>'A6-FinPos'!L12</f>
        <v>2644648.3973919847</v>
      </c>
      <c r="O35" s="241"/>
    </row>
    <row r="36" spans="1:15" ht="11.25" customHeight="1" x14ac:dyDescent="0.25">
      <c r="A36" s="713" t="str">
        <f>'A6-FinPos'!A24</f>
        <v>Total non current assets</v>
      </c>
      <c r="B36" s="903">
        <f>'A6-FinPos'!C24</f>
        <v>124411417.86538538</v>
      </c>
      <c r="C36" s="205">
        <f>'A6-FinPos'!D24</f>
        <v>134099903.67075771</v>
      </c>
      <c r="D36" s="474">
        <f>'A6-FinPos'!E24</f>
        <v>134962225.00608271</v>
      </c>
      <c r="E36" s="209">
        <f>'A6-FinPos'!F24</f>
        <v>135448213.68684208</v>
      </c>
      <c r="F36" s="205">
        <f>'A6-FinPos'!G24</f>
        <v>139384692.00608271</v>
      </c>
      <c r="G36" s="475">
        <f>'A6-FinPos'!H24</f>
        <v>139384692.00608271</v>
      </c>
      <c r="H36" s="208">
        <f>'A6-FinPos'!I24</f>
        <v>139384692.00608271</v>
      </c>
      <c r="I36" s="209">
        <f>'A6-FinPos'!J24</f>
        <v>146685553.46608269</v>
      </c>
      <c r="J36" s="205">
        <f>'A6-FinPos'!K24</f>
        <v>155199482.81368271</v>
      </c>
      <c r="K36" s="475">
        <f>'A6-FinPos'!L24</f>
        <v>163339943.92213869</v>
      </c>
      <c r="O36" s="241"/>
    </row>
    <row r="37" spans="1:15" ht="11.25" customHeight="1" x14ac:dyDescent="0.25">
      <c r="A37" s="713" t="str">
        <f>'A6-FinPos'!A34</f>
        <v>Total current liabilities</v>
      </c>
      <c r="B37" s="903">
        <f>'A6-FinPos'!C34</f>
        <v>7392881.3634834345</v>
      </c>
      <c r="C37" s="205">
        <f>'A6-FinPos'!D34</f>
        <v>12599908.65</v>
      </c>
      <c r="D37" s="474">
        <f>'A6-FinPos'!E34</f>
        <v>15433806.65</v>
      </c>
      <c r="E37" s="209">
        <f>'A6-FinPos'!F34</f>
        <v>8845969.7800000012</v>
      </c>
      <c r="F37" s="205">
        <f>'A6-FinPos'!G34</f>
        <v>29774264.7678096</v>
      </c>
      <c r="G37" s="475">
        <f>'A6-FinPos'!H34</f>
        <v>29774264.7678096</v>
      </c>
      <c r="H37" s="208">
        <f>'A6-FinPos'!I34</f>
        <v>29774264.7678096</v>
      </c>
      <c r="I37" s="209">
        <f>'A6-FinPos'!J34</f>
        <v>40547529.672156461</v>
      </c>
      <c r="J37" s="205">
        <f>'A6-FinPos'!K34</f>
        <v>49974898.783359148</v>
      </c>
      <c r="K37" s="475">
        <f>'A6-FinPos'!L34</f>
        <v>59104167.918581344</v>
      </c>
      <c r="O37" s="241"/>
    </row>
    <row r="38" spans="1:15" ht="11.25" customHeight="1" x14ac:dyDescent="0.25">
      <c r="A38" s="713" t="str">
        <f>'A6-FinPos'!A39</f>
        <v>Total non current liabilities</v>
      </c>
      <c r="B38" s="903">
        <f>'A6-FinPos'!C39</f>
        <v>5402119.8165165652</v>
      </c>
      <c r="C38" s="205">
        <f>'A6-FinPos'!D39</f>
        <v>5708980</v>
      </c>
      <c r="D38" s="474">
        <f>'A6-FinPos'!E39</f>
        <v>5301892</v>
      </c>
      <c r="E38" s="209">
        <f>'A6-FinPos'!F39</f>
        <v>1436000</v>
      </c>
      <c r="F38" s="205">
        <f>'A6-FinPos'!G39</f>
        <v>5379412.4500000002</v>
      </c>
      <c r="G38" s="475">
        <f>'A6-FinPos'!H39</f>
        <v>5379412.4500000002</v>
      </c>
      <c r="H38" s="208">
        <f>'A6-FinPos'!I39</f>
        <v>5379412.4500000002</v>
      </c>
      <c r="I38" s="209">
        <f>'A6-FinPos'!J39</f>
        <v>5457958.1814999999</v>
      </c>
      <c r="J38" s="205">
        <f>'A6-FinPos'!K39</f>
        <v>5603832.0892150011</v>
      </c>
      <c r="K38" s="475">
        <f>'A6-FinPos'!L39</f>
        <v>5928871.3594279019</v>
      </c>
      <c r="O38" s="241"/>
    </row>
    <row r="39" spans="1:15" ht="11.25" customHeight="1" x14ac:dyDescent="0.25">
      <c r="A39" s="713" t="s">
        <v>37</v>
      </c>
      <c r="B39" s="903">
        <f>'A6-FinPos'!C48</f>
        <v>124529848</v>
      </c>
      <c r="C39" s="205">
        <f>'A6-FinPos'!D48</f>
        <v>126810362.78191918</v>
      </c>
      <c r="D39" s="474">
        <f>'A6-FinPos'!E48</f>
        <v>121756054.42398737</v>
      </c>
      <c r="E39" s="209">
        <f>'A6-FinPos'!F48</f>
        <v>1425000</v>
      </c>
      <c r="F39" s="205">
        <f>'A6-FinPos'!G48</f>
        <v>106323501.13827309</v>
      </c>
      <c r="G39" s="475">
        <f>'A6-FinPos'!H48</f>
        <v>106323501.13827309</v>
      </c>
      <c r="H39" s="208">
        <f>'A6-FinPos'!I48</f>
        <v>106323501.13827309</v>
      </c>
      <c r="I39" s="209">
        <f>'A6-FinPos'!J48</f>
        <v>102732634.11642623</v>
      </c>
      <c r="J39" s="205">
        <f>'A6-FinPos'!K48</f>
        <v>101794451.07326856</v>
      </c>
      <c r="K39" s="475">
        <f>'A6-FinPos'!L48</f>
        <v>100951553.04152143</v>
      </c>
      <c r="O39" s="241"/>
    </row>
    <row r="40" spans="1:15" ht="5.0999999999999996" customHeight="1" x14ac:dyDescent="0.25">
      <c r="A40" s="936"/>
      <c r="B40" s="157"/>
      <c r="C40" s="158"/>
      <c r="D40" s="159"/>
      <c r="E40" s="157"/>
      <c r="F40" s="158"/>
      <c r="G40" s="159"/>
      <c r="H40" s="160"/>
      <c r="I40" s="157"/>
      <c r="J40" s="158"/>
      <c r="K40" s="159"/>
      <c r="O40" s="241"/>
    </row>
    <row r="41" spans="1:15" ht="11.25" customHeight="1" x14ac:dyDescent="0.25">
      <c r="A41" s="710" t="s">
        <v>204</v>
      </c>
      <c r="B41" s="164"/>
      <c r="C41" s="165"/>
      <c r="D41" s="166"/>
      <c r="E41" s="164"/>
      <c r="F41" s="165"/>
      <c r="G41" s="166"/>
      <c r="H41" s="167"/>
      <c r="I41" s="164"/>
      <c r="J41" s="165"/>
      <c r="K41" s="166"/>
      <c r="O41" s="241"/>
    </row>
    <row r="42" spans="1:15" ht="11.25" customHeight="1" x14ac:dyDescent="0.25">
      <c r="A42" s="713" t="s">
        <v>988</v>
      </c>
      <c r="B42" s="903">
        <f>'A7-CFlow'!C15</f>
        <v>12854887.100000009</v>
      </c>
      <c r="C42" s="205">
        <f>'A7-CFlow'!D15</f>
        <v>21206408.908472106</v>
      </c>
      <c r="D42" s="474">
        <f>'A7-CFlow'!E15</f>
        <v>5129502.8997365087</v>
      </c>
      <c r="E42" s="209">
        <f>'A7-CFlow'!F15</f>
        <v>13947644.098080002</v>
      </c>
      <c r="F42" s="205">
        <f>'A7-CFlow'!G15</f>
        <v>-8677047.857214272</v>
      </c>
      <c r="G42" s="475">
        <f>'A7-CFlow'!H15</f>
        <v>-8677047.857214272</v>
      </c>
      <c r="H42" s="208">
        <f>'A7-CFlow'!I15</f>
        <v>-8677047.857214272</v>
      </c>
      <c r="I42" s="209">
        <f>'A7-CFlow'!J15</f>
        <v>2918147.0934481174</v>
      </c>
      <c r="J42" s="205">
        <f>'A7-CFlow'!K15</f>
        <v>5804401.8067799658</v>
      </c>
      <c r="K42" s="475">
        <f>'A7-CFlow'!L15</f>
        <v>5968651.1423794776</v>
      </c>
    </row>
    <row r="43" spans="1:15" ht="11.25" customHeight="1" x14ac:dyDescent="0.25">
      <c r="A43" s="713" t="s">
        <v>989</v>
      </c>
      <c r="B43" s="903">
        <f>'A7-CFlow'!C25</f>
        <v>-17196265.829999998</v>
      </c>
      <c r="C43" s="205">
        <f>'A7-CFlow'!D25</f>
        <v>-15158136</v>
      </c>
      <c r="D43" s="474">
        <f>'A7-CFlow'!E25</f>
        <v>-6320507</v>
      </c>
      <c r="E43" s="209">
        <f>'A7-CFlow'!F25</f>
        <v>-9748140.9600000009</v>
      </c>
      <c r="F43" s="205">
        <f>'A7-CFlow'!G25</f>
        <v>-9708000</v>
      </c>
      <c r="G43" s="475">
        <f>'A7-CFlow'!H25</f>
        <v>-9708000</v>
      </c>
      <c r="H43" s="208">
        <f>'A7-CFlow'!I25</f>
        <v>-9708000</v>
      </c>
      <c r="I43" s="209">
        <f>'A7-CFlow'!J25</f>
        <v>-12799830</v>
      </c>
      <c r="J43" s="205">
        <f>'A7-CFlow'!K25</f>
        <v>-14342800</v>
      </c>
      <c r="K43" s="475">
        <f>'A7-CFlow'!L25</f>
        <v>-14319028</v>
      </c>
    </row>
    <row r="44" spans="1:15" ht="11.25" customHeight="1" x14ac:dyDescent="0.25">
      <c r="A44" s="713" t="s">
        <v>987</v>
      </c>
      <c r="B44" s="903">
        <f>'A7-CFlow'!C34</f>
        <v>-371572.89000000019</v>
      </c>
      <c r="C44" s="205">
        <f>'A7-CFlow'!D34</f>
        <v>37784.069741442392</v>
      </c>
      <c r="D44" s="474">
        <f>'A7-CFlow'!E34</f>
        <v>-191536</v>
      </c>
      <c r="E44" s="209">
        <f>'A7-CFlow'!F34</f>
        <v>-1716000</v>
      </c>
      <c r="F44" s="205">
        <f>'A7-CFlow'!G34</f>
        <v>-235461.08999999994</v>
      </c>
      <c r="G44" s="475">
        <f>'A7-CFlow'!H34</f>
        <v>-235461.08999999994</v>
      </c>
      <c r="H44" s="208">
        <f>'A7-CFlow'!I34</f>
        <v>-235461.08999999994</v>
      </c>
      <c r="I44" s="209">
        <f>'A7-CFlow'!J34</f>
        <v>-223869.28940573896</v>
      </c>
      <c r="J44" s="205">
        <f>'A7-CFlow'!K34</f>
        <v>-195780.60665526098</v>
      </c>
      <c r="K44" s="475">
        <f>'A7-CFlow'!L34</f>
        <v>-190255.88480301999</v>
      </c>
    </row>
    <row r="45" spans="1:15" ht="11.25" customHeight="1" x14ac:dyDescent="0.25">
      <c r="A45" s="714" t="str">
        <f>LEFT('A7-CFlow'!A38,37)</f>
        <v>Cash/cash equivalents at the year end</v>
      </c>
      <c r="B45" s="903">
        <f>'A7-CFlow'!C38</f>
        <v>-1216405.1499999901</v>
      </c>
      <c r="C45" s="205">
        <f>'A7-CFlow'!D38</f>
        <v>4869651.8282135585</v>
      </c>
      <c r="D45" s="474">
        <f>'A7-CFlow'!E38</f>
        <v>3487111.7279500673</v>
      </c>
      <c r="E45" s="209">
        <f>'A7-CFlow'!F38</f>
        <v>16389503.138080001</v>
      </c>
      <c r="F45" s="205">
        <f>'A7-CFlow'!G38</f>
        <v>-15133397.219264206</v>
      </c>
      <c r="G45" s="475">
        <f>'A7-CFlow'!H38</f>
        <v>-15133397.219264206</v>
      </c>
      <c r="H45" s="208">
        <f>'A7-CFlow'!I38</f>
        <v>-15133397.219264206</v>
      </c>
      <c r="I45" s="209">
        <f>'A7-CFlow'!J38</f>
        <v>-25238949.415221825</v>
      </c>
      <c r="J45" s="205">
        <f>'A7-CFlow'!K38</f>
        <v>-33973128.215097122</v>
      </c>
      <c r="K45" s="475">
        <f>'A7-CFlow'!L38</f>
        <v>-42513760.957520664</v>
      </c>
    </row>
    <row r="46" spans="1:15" ht="5.0999999999999996" customHeight="1" x14ac:dyDescent="0.25">
      <c r="A46" s="936"/>
      <c r="B46" s="157"/>
      <c r="C46" s="158"/>
      <c r="D46" s="159"/>
      <c r="E46" s="157"/>
      <c r="F46" s="158"/>
      <c r="G46" s="159"/>
      <c r="H46" s="160"/>
      <c r="I46" s="157"/>
      <c r="J46" s="158"/>
      <c r="K46" s="159"/>
    </row>
    <row r="47" spans="1:15" ht="11.25" customHeight="1" x14ac:dyDescent="0.25">
      <c r="A47" s="710" t="s">
        <v>289</v>
      </c>
      <c r="B47" s="164"/>
      <c r="C47" s="165"/>
      <c r="D47" s="166"/>
      <c r="E47" s="164"/>
      <c r="F47" s="165"/>
      <c r="G47" s="166"/>
      <c r="H47" s="167"/>
      <c r="I47" s="164"/>
      <c r="J47" s="165"/>
      <c r="K47" s="166"/>
    </row>
    <row r="48" spans="1:15" ht="11.25" customHeight="1" x14ac:dyDescent="0.25">
      <c r="A48" s="713" t="str">
        <f>'A8-ResRecon'!A4</f>
        <v>Cash and investments available</v>
      </c>
      <c r="B48" s="903">
        <f>'A8-ResRecon'!C8</f>
        <v>751847.85000000009</v>
      </c>
      <c r="C48" s="205">
        <f>'A8-ResRecon'!D8</f>
        <v>6270425</v>
      </c>
      <c r="D48" s="474">
        <f>'A8-ResRecon'!E8</f>
        <v>4912284</v>
      </c>
      <c r="E48" s="209">
        <f>'A8-ResRecon'!F8</f>
        <v>10367371.363000005</v>
      </c>
      <c r="F48" s="205">
        <f>'A8-ResRecon'!G8</f>
        <v>-13708224.949309601</v>
      </c>
      <c r="G48" s="475">
        <f>'A8-ResRecon'!H8</f>
        <v>-13708224.949309625</v>
      </c>
      <c r="H48" s="208">
        <f>'A8-ResRecon'!I8</f>
        <v>-13708224.949309625</v>
      </c>
      <c r="I48" s="209">
        <f>'A8-ResRecon'!J8</f>
        <v>-23753947.1452672</v>
      </c>
      <c r="J48" s="205">
        <f>'A8-ResRecon'!K8</f>
        <v>-32399125.9451425</v>
      </c>
      <c r="K48" s="475">
        <f>'A8-ResRecon'!L8</f>
        <v>-40845758.68756602</v>
      </c>
    </row>
    <row r="49" spans="1:12" ht="11.25" customHeight="1" x14ac:dyDescent="0.25">
      <c r="A49" s="713" t="str">
        <f>'A8-ResRecon'!A10</f>
        <v>Application of cash and investments</v>
      </c>
      <c r="B49" s="903">
        <f>'A8-ResRecon'!C18</f>
        <v>-19256175.440000001</v>
      </c>
      <c r="C49" s="205">
        <f>'A8-ResRecon'!D18</f>
        <v>6740928.6500000004</v>
      </c>
      <c r="D49" s="474">
        <f>'A8-ResRecon'!E18</f>
        <v>9426460.6500000004</v>
      </c>
      <c r="E49" s="209">
        <f>'A8-ResRecon'!F18</f>
        <v>641969.78000000026</v>
      </c>
      <c r="F49" s="205">
        <f>'A8-ResRecon'!G18</f>
        <v>10875773.278500002</v>
      </c>
      <c r="G49" s="475">
        <f>'A8-ResRecon'!H18</f>
        <v>10875773.278500002</v>
      </c>
      <c r="H49" s="208">
        <f>'A8-ResRecon'!I18</f>
        <v>10875773.278500002</v>
      </c>
      <c r="I49" s="209">
        <f>'A8-ResRecon'!J18</f>
        <v>11131988.317995001</v>
      </c>
      <c r="J49" s="205">
        <f>'A8-ResRecon'!K18</f>
        <v>11540938.410254652</v>
      </c>
      <c r="K49" s="475">
        <f>'A8-ResRecon'!L18</f>
        <v>11684055.008972477</v>
      </c>
    </row>
    <row r="50" spans="1:12" ht="11.25" customHeight="1" x14ac:dyDescent="0.25">
      <c r="A50" s="714" t="s">
        <v>1089</v>
      </c>
      <c r="B50" s="903">
        <f>B48-B49</f>
        <v>20008023.290000003</v>
      </c>
      <c r="C50" s="205">
        <f t="shared" ref="C50:K50" si="6">C48-C49</f>
        <v>-470503.65000000037</v>
      </c>
      <c r="D50" s="474">
        <f t="shared" si="6"/>
        <v>-4514176.6500000004</v>
      </c>
      <c r="E50" s="209">
        <f t="shared" si="6"/>
        <v>9725401.5830000043</v>
      </c>
      <c r="F50" s="205">
        <f t="shared" si="6"/>
        <v>-24583998.227809601</v>
      </c>
      <c r="G50" s="475">
        <f t="shared" si="6"/>
        <v>-24583998.227809627</v>
      </c>
      <c r="H50" s="208">
        <f t="shared" si="6"/>
        <v>-24583998.227809627</v>
      </c>
      <c r="I50" s="209">
        <f t="shared" si="6"/>
        <v>-34885935.4632622</v>
      </c>
      <c r="J50" s="205">
        <f t="shared" si="6"/>
        <v>-43940064.35539715</v>
      </c>
      <c r="K50" s="475">
        <f t="shared" si="6"/>
        <v>-52529813.696538493</v>
      </c>
    </row>
    <row r="51" spans="1:12" ht="5.0999999999999996" customHeight="1" x14ac:dyDescent="0.25">
      <c r="A51" s="739"/>
      <c r="B51" s="173"/>
      <c r="C51" s="174"/>
      <c r="D51" s="175"/>
      <c r="E51" s="173"/>
      <c r="F51" s="174"/>
      <c r="G51" s="175"/>
      <c r="H51" s="176"/>
      <c r="I51" s="173"/>
      <c r="J51" s="174"/>
      <c r="K51" s="175"/>
    </row>
    <row r="52" spans="1:12" ht="11.25" customHeight="1" x14ac:dyDescent="0.25">
      <c r="A52" s="937" t="s">
        <v>1248</v>
      </c>
      <c r="B52" s="157"/>
      <c r="C52" s="158"/>
      <c r="D52" s="159"/>
      <c r="E52" s="157"/>
      <c r="F52" s="158"/>
      <c r="G52" s="159"/>
      <c r="H52" s="160"/>
      <c r="I52" s="157"/>
      <c r="J52" s="158"/>
      <c r="K52" s="159"/>
      <c r="L52" s="338"/>
    </row>
    <row r="53" spans="1:12" ht="11.25" customHeight="1" x14ac:dyDescent="0.25">
      <c r="A53" s="938" t="s">
        <v>963</v>
      </c>
      <c r="B53" s="903">
        <f>'A9-Asset'!C65</f>
        <v>122159712.86538538</v>
      </c>
      <c r="C53" s="205">
        <f>'A9-Asset'!D65</f>
        <v>132692362.6707577</v>
      </c>
      <c r="D53" s="474">
        <f>'A9-Asset'!E65</f>
        <v>133532244.00608271</v>
      </c>
      <c r="E53" s="209">
        <f>'A9-Asset'!F65</f>
        <v>19984100</v>
      </c>
      <c r="F53" s="205">
        <f>'A9-Asset'!G65</f>
        <v>137954711.00608274</v>
      </c>
      <c r="G53" s="475">
        <f>'A9-Asset'!H65</f>
        <v>137954711.00608274</v>
      </c>
      <c r="H53" s="208">
        <f>'A9-Asset'!I65</f>
        <v>145195742.46608275</v>
      </c>
      <c r="I53" s="209">
        <f>'A9-Asset'!I65</f>
        <v>145195742.46608275</v>
      </c>
      <c r="J53" s="205">
        <f>'A9-Asset'!J65</f>
        <v>153620671.81368276</v>
      </c>
      <c r="K53" s="475">
        <f>'A9-Asset'!K65</f>
        <v>161667132.92213875</v>
      </c>
      <c r="L53" s="338"/>
    </row>
    <row r="54" spans="1:12" ht="11.25" customHeight="1" x14ac:dyDescent="0.25">
      <c r="A54" s="938" t="str">
        <f>'A9-Asset'!A68</f>
        <v>Depreciation &amp; asset impairment</v>
      </c>
      <c r="B54" s="903">
        <f>'A9-Asset'!C68</f>
        <v>4025720.9765738035</v>
      </c>
      <c r="C54" s="205">
        <f>'A9-Asset'!D68</f>
        <v>5134591.4269657983</v>
      </c>
      <c r="D54" s="474">
        <f>'A9-Asset'!E68</f>
        <v>5329449.4785402957</v>
      </c>
      <c r="E54" s="209">
        <f>'A9-Asset'!F68</f>
        <v>5357533</v>
      </c>
      <c r="F54" s="205">
        <f>'A9-Asset'!G68</f>
        <v>5357533</v>
      </c>
      <c r="G54" s="475">
        <f>'A9-Asset'!H68</f>
        <v>5357533</v>
      </c>
      <c r="H54" s="208">
        <f>'A9-Asset'!I68</f>
        <v>5723968.540000001</v>
      </c>
      <c r="I54" s="209">
        <f>'A9-Asset'!I68</f>
        <v>5723968.540000001</v>
      </c>
      <c r="J54" s="205">
        <f>'A9-Asset'!J68</f>
        <v>6067370.652400001</v>
      </c>
      <c r="K54" s="475">
        <f>'A9-Asset'!K68</f>
        <v>6431376.8915440002</v>
      </c>
      <c r="L54" s="338"/>
    </row>
    <row r="55" spans="1:12" ht="11.25" customHeight="1" x14ac:dyDescent="0.25">
      <c r="A55" s="938" t="s">
        <v>446</v>
      </c>
      <c r="B55" s="903">
        <f>'A9-Asset'!C20</f>
        <v>0</v>
      </c>
      <c r="C55" s="205">
        <f>'A9-Asset'!D20</f>
        <v>0</v>
      </c>
      <c r="D55" s="474">
        <f>'A9-Asset'!E20</f>
        <v>0</v>
      </c>
      <c r="E55" s="209">
        <f>'A9-Asset'!F20</f>
        <v>0</v>
      </c>
      <c r="F55" s="205">
        <f>'A9-Asset'!G20</f>
        <v>0</v>
      </c>
      <c r="G55" s="475">
        <f>'A9-Asset'!H20</f>
        <v>0</v>
      </c>
      <c r="H55" s="208">
        <f>'A9-Asset'!H20</f>
        <v>0</v>
      </c>
      <c r="I55" s="209">
        <f>'A9-Asset'!I20</f>
        <v>0</v>
      </c>
      <c r="J55" s="205">
        <f>'A9-Asset'!J20</f>
        <v>0</v>
      </c>
      <c r="K55" s="475">
        <f>'A9-Asset'!K20</f>
        <v>0</v>
      </c>
      <c r="L55" s="338"/>
    </row>
    <row r="56" spans="1:12" ht="11.25" customHeight="1" x14ac:dyDescent="0.25">
      <c r="A56" s="938" t="s">
        <v>447</v>
      </c>
      <c r="B56" s="903">
        <f>'A9-Asset'!C69</f>
        <v>1133566.1700000002</v>
      </c>
      <c r="C56" s="205">
        <f>'A9-Asset'!D69</f>
        <v>1553123.54</v>
      </c>
      <c r="D56" s="474">
        <f>'A9-Asset'!E69</f>
        <v>2154289.13</v>
      </c>
      <c r="E56" s="209" t="str">
        <f>'A9-Asset'!F69</f>
        <v xml:space="preserve">                                 </v>
      </c>
      <c r="F56" s="205">
        <f>'A9-Asset'!G69</f>
        <v>5571750</v>
      </c>
      <c r="G56" s="475">
        <f>'A9-Asset'!H69</f>
        <v>5571750</v>
      </c>
      <c r="H56" s="208">
        <f>'A9-Asset'!I69</f>
        <v>5026250</v>
      </c>
      <c r="I56" s="209">
        <f>'A9-Asset'!I69</f>
        <v>5026250</v>
      </c>
      <c r="J56" s="205">
        <f>'A9-Asset'!J69</f>
        <v>5327825</v>
      </c>
      <c r="K56" s="475">
        <f>'A9-Asset'!K69</f>
        <v>5647494.5</v>
      </c>
      <c r="L56" s="338"/>
    </row>
    <row r="57" spans="1:12" ht="5.0999999999999996" customHeight="1" x14ac:dyDescent="0.25">
      <c r="A57" s="939"/>
      <c r="B57" s="730"/>
      <c r="C57" s="728"/>
      <c r="D57" s="729"/>
      <c r="E57" s="730"/>
      <c r="F57" s="728"/>
      <c r="G57" s="729"/>
      <c r="H57" s="731"/>
      <c r="I57" s="730"/>
      <c r="J57" s="728"/>
      <c r="K57" s="729"/>
      <c r="L57" s="338"/>
    </row>
    <row r="58" spans="1:12" ht="11.25" customHeight="1" x14ac:dyDescent="0.25">
      <c r="A58" s="937" t="s">
        <v>811</v>
      </c>
      <c r="B58" s="157"/>
      <c r="C58" s="158"/>
      <c r="D58" s="159"/>
      <c r="E58" s="157"/>
      <c r="F58" s="158"/>
      <c r="G58" s="159"/>
      <c r="H58" s="160"/>
      <c r="I58" s="161"/>
      <c r="J58" s="162"/>
      <c r="K58" s="163"/>
      <c r="L58" s="338"/>
    </row>
    <row r="59" spans="1:12" ht="11.25" customHeight="1" x14ac:dyDescent="0.25">
      <c r="A59" s="1245" t="s">
        <v>813</v>
      </c>
      <c r="B59" s="903">
        <f>'A10-SerDel'!C59</f>
        <v>3996000</v>
      </c>
      <c r="C59" s="205">
        <f>'A10-SerDel'!D59</f>
        <v>4196777.7</v>
      </c>
      <c r="D59" s="474">
        <f>'A10-SerDel'!E59</f>
        <v>4160616.7199999997</v>
      </c>
      <c r="E59" s="209">
        <f>'A10-SerDel'!F59</f>
        <v>0</v>
      </c>
      <c r="F59" s="205">
        <f>'A10-SerDel'!G59</f>
        <v>4140795.42</v>
      </c>
      <c r="G59" s="475">
        <f>'A10-SerDel'!H59</f>
        <v>4140795.42</v>
      </c>
      <c r="H59" s="208">
        <f>'A10-SerDel'!I59</f>
        <v>4043792.16</v>
      </c>
      <c r="I59" s="209">
        <f>'A10-SerDel'!I59</f>
        <v>4043792.16</v>
      </c>
      <c r="J59" s="205">
        <f>'A10-SerDel'!J59</f>
        <v>4176726.12</v>
      </c>
      <c r="K59" s="475">
        <f>'A10-SerDel'!K59</f>
        <v>4027668</v>
      </c>
      <c r="L59" s="338"/>
    </row>
    <row r="60" spans="1:12" ht="11.25" customHeight="1" x14ac:dyDescent="0.25">
      <c r="A60" s="1245" t="s">
        <v>499</v>
      </c>
      <c r="B60" s="903">
        <f>'A10-SerDel'!C78</f>
        <v>4050612</v>
      </c>
      <c r="C60" s="205">
        <f>'A10-SerDel'!D78</f>
        <v>5984647.1217499999</v>
      </c>
      <c r="D60" s="474">
        <f>'A10-SerDel'!E78</f>
        <v>5337302.2799999993</v>
      </c>
      <c r="E60" s="209">
        <f>'A10-SerDel'!F78</f>
        <v>0</v>
      </c>
      <c r="F60" s="205">
        <f>'A10-SerDel'!G78</f>
        <v>4937782.13</v>
      </c>
      <c r="G60" s="475">
        <f>'A10-SerDel'!H78</f>
        <v>4887782.7299999995</v>
      </c>
      <c r="H60" s="208">
        <f>'A10-SerDel'!I78</f>
        <v>4649722.5599999996</v>
      </c>
      <c r="I60" s="209">
        <f>'A10-SerDel'!I78</f>
        <v>4649722.5599999996</v>
      </c>
      <c r="J60" s="205">
        <f>'A10-SerDel'!J78</f>
        <v>4873452.12</v>
      </c>
      <c r="K60" s="475">
        <f>'A10-SerDel'!K78</f>
        <v>4760607.4000000004</v>
      </c>
      <c r="L60" s="338"/>
    </row>
    <row r="61" spans="1:12" ht="11.25" customHeight="1" x14ac:dyDescent="0.25">
      <c r="A61" s="1247" t="s">
        <v>812</v>
      </c>
      <c r="B61" s="161"/>
      <c r="C61" s="162"/>
      <c r="D61" s="163"/>
      <c r="E61" s="161"/>
      <c r="F61" s="162"/>
      <c r="G61" s="163"/>
      <c r="H61" s="527"/>
      <c r="I61" s="161"/>
      <c r="J61" s="162"/>
      <c r="K61" s="163"/>
      <c r="L61" s="338"/>
    </row>
    <row r="62" spans="1:12" ht="11.25" customHeight="1" x14ac:dyDescent="0.25">
      <c r="A62" s="1081" t="str">
        <f>'A10-SerDel'!A5</f>
        <v>Water:</v>
      </c>
      <c r="B62" s="252">
        <f>'A10-SerDel'!C14</f>
        <v>0</v>
      </c>
      <c r="C62" s="251">
        <f>'A10-SerDel'!D14</f>
        <v>0</v>
      </c>
      <c r="D62" s="254">
        <f>'A10-SerDel'!E14</f>
        <v>0</v>
      </c>
      <c r="E62" s="252">
        <f>'A10-SerDel'!F14</f>
        <v>0</v>
      </c>
      <c r="F62" s="251">
        <f>'A10-SerDel'!G14</f>
        <v>0</v>
      </c>
      <c r="G62" s="254">
        <f>'A10-SerDel'!H14</f>
        <v>0</v>
      </c>
      <c r="H62" s="253">
        <f>'A10-SerDel'!I14</f>
        <v>0</v>
      </c>
      <c r="I62" s="252">
        <f>'A10-SerDel'!I14</f>
        <v>0</v>
      </c>
      <c r="J62" s="251">
        <f>'A10-SerDel'!J14</f>
        <v>0</v>
      </c>
      <c r="K62" s="254">
        <f>'A10-SerDel'!K14</f>
        <v>0</v>
      </c>
      <c r="L62" s="338"/>
    </row>
    <row r="63" spans="1:12" ht="11.25" customHeight="1" x14ac:dyDescent="0.25">
      <c r="A63" s="1081" t="str">
        <f>'A10-SerDel'!A16</f>
        <v>Sanitation/sewerage:</v>
      </c>
      <c r="B63" s="252">
        <f>'A10-SerDel'!C26</f>
        <v>1608</v>
      </c>
      <c r="C63" s="251">
        <f>'A10-SerDel'!D26</f>
        <v>0</v>
      </c>
      <c r="D63" s="254">
        <f>'A10-SerDel'!E26</f>
        <v>0</v>
      </c>
      <c r="E63" s="252">
        <f>'A10-SerDel'!F26</f>
        <v>376</v>
      </c>
      <c r="F63" s="251">
        <f>'A10-SerDel'!G26</f>
        <v>376000</v>
      </c>
      <c r="G63" s="254">
        <f>'A10-SerDel'!H26</f>
        <v>376</v>
      </c>
      <c r="H63" s="253">
        <f>'A10-SerDel'!I26</f>
        <v>376</v>
      </c>
      <c r="I63" s="252">
        <f>'A10-SerDel'!I26</f>
        <v>376</v>
      </c>
      <c r="J63" s="251">
        <f>'A10-SerDel'!J26</f>
        <v>0</v>
      </c>
      <c r="K63" s="254">
        <f>'A10-SerDel'!K26</f>
        <v>0</v>
      </c>
      <c r="L63" s="338"/>
    </row>
    <row r="64" spans="1:12" ht="11.25" customHeight="1" x14ac:dyDescent="0.25">
      <c r="A64" s="1081" t="str">
        <f>'A10-SerDel'!A28</f>
        <v>Energy:</v>
      </c>
      <c r="B64" s="252">
        <f>'A10-SerDel'!C35</f>
        <v>359</v>
      </c>
      <c r="C64" s="251">
        <f>'A10-SerDel'!D35</f>
        <v>247</v>
      </c>
      <c r="D64" s="254">
        <f>'A10-SerDel'!E35</f>
        <v>297</v>
      </c>
      <c r="E64" s="252">
        <f>'A10-SerDel'!F35</f>
        <v>0</v>
      </c>
      <c r="F64" s="251">
        <f>'A10-SerDel'!G35</f>
        <v>197000</v>
      </c>
      <c r="G64" s="254">
        <f>'A10-SerDel'!H35</f>
        <v>197</v>
      </c>
      <c r="H64" s="253">
        <f>'A10-SerDel'!I35</f>
        <v>187</v>
      </c>
      <c r="I64" s="252">
        <f>'A10-SerDel'!I35</f>
        <v>187</v>
      </c>
      <c r="J64" s="251">
        <f>'A10-SerDel'!J35</f>
        <v>187</v>
      </c>
      <c r="K64" s="254">
        <f>'A10-SerDel'!K35</f>
        <v>187</v>
      </c>
      <c r="L64" s="338"/>
    </row>
    <row r="65" spans="1:12" ht="11.25" customHeight="1" x14ac:dyDescent="0.25">
      <c r="A65" s="1081" t="str">
        <f>'A10-SerDel'!A37</f>
        <v>Refuse:</v>
      </c>
      <c r="B65" s="252">
        <f>'A10-SerDel'!C45</f>
        <v>0</v>
      </c>
      <c r="C65" s="251">
        <f>'A10-SerDel'!D45</f>
        <v>0</v>
      </c>
      <c r="D65" s="254">
        <f>'A10-SerDel'!E45</f>
        <v>0</v>
      </c>
      <c r="E65" s="252">
        <f>'A10-SerDel'!F45</f>
        <v>0</v>
      </c>
      <c r="F65" s="251">
        <f>'A10-SerDel'!G45</f>
        <v>0</v>
      </c>
      <c r="G65" s="254">
        <f>'A10-SerDel'!H45</f>
        <v>0</v>
      </c>
      <c r="H65" s="253">
        <f>'A10-SerDel'!I45</f>
        <v>0</v>
      </c>
      <c r="I65" s="252">
        <f>'A10-SerDel'!I45</f>
        <v>0</v>
      </c>
      <c r="J65" s="251">
        <f>'A10-SerDel'!J45</f>
        <v>0</v>
      </c>
      <c r="K65" s="254">
        <f>'A10-SerDel'!K45</f>
        <v>0</v>
      </c>
      <c r="L65" s="338"/>
    </row>
    <row r="66" spans="1:12" ht="5.0999999999999996" customHeight="1" x14ac:dyDescent="0.25">
      <c r="A66" s="939"/>
      <c r="B66" s="730"/>
      <c r="C66" s="728"/>
      <c r="D66" s="729"/>
      <c r="E66" s="730"/>
      <c r="F66" s="728"/>
      <c r="G66" s="729"/>
      <c r="H66" s="731"/>
      <c r="I66" s="730"/>
      <c r="J66" s="728"/>
      <c r="K66" s="729"/>
      <c r="L66" s="338"/>
    </row>
    <row r="67" spans="1:12" ht="4.5" customHeight="1" x14ac:dyDescent="0.25">
      <c r="A67" s="241"/>
      <c r="B67" s="160"/>
      <c r="C67" s="160"/>
      <c r="D67" s="160"/>
      <c r="E67" s="160"/>
      <c r="F67" s="160"/>
      <c r="G67" s="160"/>
      <c r="H67" s="160"/>
      <c r="I67" s="160"/>
      <c r="J67" s="160"/>
      <c r="K67" s="160"/>
    </row>
    <row r="68" spans="1:12" x14ac:dyDescent="0.25">
      <c r="A68" s="177"/>
      <c r="B68" s="177"/>
      <c r="C68" s="177"/>
      <c r="D68" s="177"/>
      <c r="E68" s="177"/>
      <c r="F68" s="177"/>
      <c r="G68" s="177"/>
      <c r="H68" s="177"/>
      <c r="I68" s="177"/>
      <c r="J68" s="177"/>
      <c r="K68" s="177"/>
    </row>
  </sheetData>
  <sheetProtection password="C646" sheet="1" objects="1" scenarios="1"/>
  <mergeCells count="3">
    <mergeCell ref="I2:K2"/>
    <mergeCell ref="E2:H2"/>
    <mergeCell ref="A1:C1"/>
  </mergeCells>
  <phoneticPr fontId="4" type="noConversion"/>
  <pageMargins left="0.75" right="0.75" top="1" bottom="1" header="0.5" footer="0.5"/>
  <pageSetup scale="7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tabColor indexed="44"/>
    <pageSetUpPr fitToPage="1"/>
  </sheetPr>
  <dimension ref="A1:R92"/>
  <sheetViews>
    <sheetView showGridLines="0" tabSelected="1" workbookViewId="0">
      <pane xSplit="2" ySplit="3" topLeftCell="C7" activePane="bottomRight" state="frozen"/>
      <selection activeCell="I39" sqref="I39"/>
      <selection pane="topRight" activeCell="I39" sqref="I39"/>
      <selection pane="bottomLeft" activeCell="I39" sqref="I39"/>
      <selection pane="bottomRight" activeCell="I39" sqref="I39"/>
    </sheetView>
  </sheetViews>
  <sheetFormatPr defaultRowHeight="12.75" x14ac:dyDescent="0.25"/>
  <cols>
    <col min="1" max="1" width="30.7109375" style="148" customWidth="1"/>
    <col min="2" max="2" width="3" style="242" customWidth="1"/>
    <col min="3" max="11" width="9.28515625" style="148" customWidth="1"/>
    <col min="12" max="41" width="9.5703125" style="148" customWidth="1"/>
    <col min="42" max="16384" width="9.140625" style="148"/>
  </cols>
  <sheetData>
    <row r="1" spans="1:18" ht="13.5" x14ac:dyDescent="0.25">
      <c r="A1" s="146" t="str">
        <f>muni&amp;" - "&amp;Approve3</f>
        <v>NC071 Ubuntu - Table A2 Budgeted Financial Performance (revenue and expenditure by standard classification)</v>
      </c>
      <c r="B1" s="243"/>
      <c r="C1" s="243"/>
      <c r="D1" s="243"/>
      <c r="E1" s="243"/>
      <c r="F1" s="243"/>
      <c r="G1" s="243"/>
      <c r="H1" s="243"/>
      <c r="I1" s="243"/>
      <c r="J1" s="243"/>
      <c r="K1" s="243"/>
    </row>
    <row r="2" spans="1:18" ht="28.5" customHeight="1" x14ac:dyDescent="0.25">
      <c r="A2" s="784" t="str">
        <f>"Standard Classification "&amp;desc</f>
        <v>Standard Classification Description</v>
      </c>
      <c r="B2" s="379" t="str">
        <f>head27</f>
        <v>Ref</v>
      </c>
      <c r="C2" s="149" t="str">
        <f>head1b</f>
        <v>2008/9</v>
      </c>
      <c r="D2" s="149" t="str">
        <f>head1A</f>
        <v>2009/10</v>
      </c>
      <c r="E2" s="145" t="str">
        <f>Head1</f>
        <v>2010/11</v>
      </c>
      <c r="F2" s="2700" t="str">
        <f>Head2</f>
        <v>Current Year 2011/12</v>
      </c>
      <c r="G2" s="2701"/>
      <c r="H2" s="2705"/>
      <c r="I2" s="2697" t="str">
        <f>Head3</f>
        <v>2012/13 Medium Term Revenue &amp; Expenditure Framework</v>
      </c>
      <c r="J2" s="2698"/>
      <c r="K2" s="2699"/>
    </row>
    <row r="3" spans="1:18" ht="25.5" x14ac:dyDescent="0.25">
      <c r="A3" s="179" t="s">
        <v>667</v>
      </c>
      <c r="B3" s="787">
        <v>1</v>
      </c>
      <c r="C3" s="353" t="str">
        <f>Head5</f>
        <v>Audited Outcome</v>
      </c>
      <c r="D3" s="353" t="str">
        <f>Head5</f>
        <v>Audited Outcome</v>
      </c>
      <c r="E3" s="354" t="str">
        <f>Head5</f>
        <v>Audited Outcome</v>
      </c>
      <c r="F3" s="283" t="str">
        <f>Head6</f>
        <v>Original Budget</v>
      </c>
      <c r="G3" s="353" t="str">
        <f>Head7</f>
        <v>Adjusted Budget</v>
      </c>
      <c r="H3" s="354" t="str">
        <f>Head8</f>
        <v>Full Year Forecast</v>
      </c>
      <c r="I3" s="283" t="str">
        <f>Head9</f>
        <v>Budget Year 2012/13</v>
      </c>
      <c r="J3" s="353" t="str">
        <f>Head10</f>
        <v>Budget Year +1 2013/14</v>
      </c>
      <c r="K3" s="354" t="str">
        <f>Head11</f>
        <v>Budget Year +2 2014/15</v>
      </c>
    </row>
    <row r="4" spans="1:18" ht="11.25" customHeight="1" x14ac:dyDescent="0.25">
      <c r="A4" s="244" t="s">
        <v>432</v>
      </c>
      <c r="B4" s="181"/>
      <c r="C4" s="183"/>
      <c r="D4" s="183"/>
      <c r="E4" s="184"/>
      <c r="F4" s="185"/>
      <c r="G4" s="183"/>
      <c r="H4" s="182"/>
      <c r="I4" s="186"/>
      <c r="J4" s="183"/>
      <c r="K4" s="184"/>
      <c r="L4" s="338"/>
    </row>
    <row r="5" spans="1:18" ht="11.25" customHeight="1" x14ac:dyDescent="0.25">
      <c r="A5" s="1015" t="s">
        <v>1134</v>
      </c>
      <c r="B5" s="955"/>
      <c r="C5" s="903">
        <f>SUM(C6:C8)</f>
        <v>43371575.767341286</v>
      </c>
      <c r="D5" s="903">
        <f t="shared" ref="D5:K5" si="0">SUM(D6:D8)</f>
        <v>20088023.708112948</v>
      </c>
      <c r="E5" s="1133">
        <f t="shared" si="0"/>
        <v>21110188.20817196</v>
      </c>
      <c r="F5" s="907">
        <f t="shared" si="0"/>
        <v>25274098.829999998</v>
      </c>
      <c r="G5" s="903">
        <f t="shared" si="0"/>
        <v>25517388</v>
      </c>
      <c r="H5" s="1134">
        <f t="shared" si="0"/>
        <v>25517388</v>
      </c>
      <c r="I5" s="1135">
        <f t="shared" si="0"/>
        <v>29016361.085644267</v>
      </c>
      <c r="J5" s="903">
        <f t="shared" si="0"/>
        <v>31362042.750782926</v>
      </c>
      <c r="K5" s="1134">
        <f t="shared" si="0"/>
        <v>33538165.315829903</v>
      </c>
      <c r="L5" s="338"/>
      <c r="Q5" s="247"/>
      <c r="R5" s="248"/>
    </row>
    <row r="6" spans="1:18" ht="11.25" customHeight="1" x14ac:dyDescent="0.25">
      <c r="A6" s="1016" t="s">
        <v>142</v>
      </c>
      <c r="B6" s="955"/>
      <c r="C6" s="852">
        <f>A2A!C6</f>
        <v>13070</v>
      </c>
      <c r="D6" s="852">
        <f>A2A!D6</f>
        <v>1645.4</v>
      </c>
      <c r="E6" s="853">
        <f>A2A!E6</f>
        <v>383124.6</v>
      </c>
      <c r="F6" s="854">
        <f>A2A!F6</f>
        <v>873000</v>
      </c>
      <c r="G6" s="852">
        <f>A2A!G6</f>
        <v>878000</v>
      </c>
      <c r="H6" s="855">
        <f>A2A!H6</f>
        <v>878000</v>
      </c>
      <c r="I6" s="856">
        <f>A2A!I6</f>
        <v>1033300</v>
      </c>
      <c r="J6" s="852">
        <f>A2A!J6</f>
        <v>1304538</v>
      </c>
      <c r="K6" s="853">
        <f>A2A!K6</f>
        <v>1530910.28</v>
      </c>
      <c r="L6" s="338"/>
      <c r="Q6" s="247"/>
      <c r="R6" s="248"/>
    </row>
    <row r="7" spans="1:18" ht="11.25" customHeight="1" x14ac:dyDescent="0.25">
      <c r="A7" s="1016" t="s">
        <v>143</v>
      </c>
      <c r="B7" s="955"/>
      <c r="C7" s="1185">
        <f>A2A!C9</f>
        <v>32679776.437341284</v>
      </c>
      <c r="D7" s="1185">
        <f>A2A!D9</f>
        <v>19607723.618112948</v>
      </c>
      <c r="E7" s="1186">
        <f>A2A!E9</f>
        <v>20370443.27817196</v>
      </c>
      <c r="F7" s="1187">
        <f>A2A!F9</f>
        <v>24097968.829999998</v>
      </c>
      <c r="G7" s="1185">
        <f>A2A!G9</f>
        <v>24400188</v>
      </c>
      <c r="H7" s="1188">
        <f>A2A!H9</f>
        <v>24400188</v>
      </c>
      <c r="I7" s="1189">
        <f>A2A!I9</f>
        <v>27552461.085644267</v>
      </c>
      <c r="J7" s="1185">
        <f>A2A!J9</f>
        <v>29601068.750782926</v>
      </c>
      <c r="K7" s="1186">
        <f>A2A!K9</f>
        <v>31523432.875829902</v>
      </c>
      <c r="L7" s="338"/>
      <c r="Q7" s="247"/>
      <c r="R7" s="248"/>
    </row>
    <row r="8" spans="1:18" ht="11.25" customHeight="1" x14ac:dyDescent="0.25">
      <c r="A8" s="1016" t="s">
        <v>144</v>
      </c>
      <c r="B8" s="955"/>
      <c r="C8" s="852">
        <f>A2A!C10</f>
        <v>10678729.33</v>
      </c>
      <c r="D8" s="852">
        <f>A2A!D10</f>
        <v>478654.69000000006</v>
      </c>
      <c r="E8" s="853">
        <f>A2A!E10</f>
        <v>356620.33</v>
      </c>
      <c r="F8" s="854">
        <f>A2A!F10</f>
        <v>303130</v>
      </c>
      <c r="G8" s="852">
        <f>A2A!G10</f>
        <v>239200</v>
      </c>
      <c r="H8" s="855">
        <f>A2A!H10</f>
        <v>239200</v>
      </c>
      <c r="I8" s="856">
        <f>A2A!I10</f>
        <v>430600</v>
      </c>
      <c r="J8" s="852">
        <f>A2A!J10</f>
        <v>456436</v>
      </c>
      <c r="K8" s="853">
        <f>A2A!K10</f>
        <v>483822.16000000003</v>
      </c>
      <c r="L8" s="338"/>
      <c r="Q8" s="247"/>
      <c r="R8" s="248"/>
    </row>
    <row r="9" spans="1:18" ht="11.25" customHeight="1" x14ac:dyDescent="0.25">
      <c r="A9" s="1015" t="s">
        <v>145</v>
      </c>
      <c r="B9" s="955"/>
      <c r="C9" s="903">
        <f>SUM(C10:C14)</f>
        <v>1072031.0737999999</v>
      </c>
      <c r="D9" s="903">
        <f t="shared" ref="D9:K9" si="1">SUM(D10:D14)</f>
        <v>1232750.9600000002</v>
      </c>
      <c r="E9" s="904">
        <f t="shared" si="1"/>
        <v>413228.56</v>
      </c>
      <c r="F9" s="905">
        <f t="shared" si="1"/>
        <v>729000</v>
      </c>
      <c r="G9" s="903">
        <f t="shared" si="1"/>
        <v>766600</v>
      </c>
      <c r="H9" s="906">
        <f t="shared" si="1"/>
        <v>766600</v>
      </c>
      <c r="I9" s="907">
        <f t="shared" si="1"/>
        <v>785500</v>
      </c>
      <c r="J9" s="903">
        <f t="shared" si="1"/>
        <v>832630</v>
      </c>
      <c r="K9" s="904">
        <f t="shared" si="1"/>
        <v>882587.79999999993</v>
      </c>
      <c r="L9" s="338"/>
      <c r="Q9" s="247"/>
      <c r="R9" s="248"/>
    </row>
    <row r="10" spans="1:18" ht="11.25" customHeight="1" x14ac:dyDescent="0.25">
      <c r="A10" s="1016" t="s">
        <v>146</v>
      </c>
      <c r="B10" s="955"/>
      <c r="C10" s="852">
        <f>A2A!C16</f>
        <v>442007.1838</v>
      </c>
      <c r="D10" s="852">
        <f>A2A!D16</f>
        <v>952391.84000000008</v>
      </c>
      <c r="E10" s="853">
        <f>A2A!E16</f>
        <v>381534.11</v>
      </c>
      <c r="F10" s="854">
        <f>A2A!F16</f>
        <v>715000</v>
      </c>
      <c r="G10" s="852">
        <f>A2A!G16</f>
        <v>743000</v>
      </c>
      <c r="H10" s="855">
        <f>A2A!H16</f>
        <v>743000</v>
      </c>
      <c r="I10" s="856">
        <f>A2A!I16</f>
        <v>767500</v>
      </c>
      <c r="J10" s="852">
        <f>A2A!J16</f>
        <v>813550</v>
      </c>
      <c r="K10" s="853">
        <f>A2A!K16</f>
        <v>862363</v>
      </c>
      <c r="L10" s="338"/>
      <c r="N10" s="338"/>
      <c r="Q10" s="247"/>
      <c r="R10" s="248"/>
    </row>
    <row r="11" spans="1:18" ht="11.25" customHeight="1" x14ac:dyDescent="0.25">
      <c r="A11" s="1016" t="s">
        <v>147</v>
      </c>
      <c r="B11" s="955"/>
      <c r="C11" s="852">
        <f>A2A!C25</f>
        <v>492423.89</v>
      </c>
      <c r="D11" s="852">
        <f>A2A!D25</f>
        <v>21280</v>
      </c>
      <c r="E11" s="853">
        <f>A2A!E25</f>
        <v>15105</v>
      </c>
      <c r="F11" s="854">
        <f>A2A!F25</f>
        <v>12000</v>
      </c>
      <c r="G11" s="852">
        <f>A2A!G25</f>
        <v>12000</v>
      </c>
      <c r="H11" s="855">
        <f>A2A!H25</f>
        <v>12000</v>
      </c>
      <c r="I11" s="856">
        <f>A2A!I25</f>
        <v>6000</v>
      </c>
      <c r="J11" s="852">
        <f>A2A!J25</f>
        <v>6360</v>
      </c>
      <c r="K11" s="853">
        <f>A2A!K25</f>
        <v>6741.6</v>
      </c>
      <c r="L11" s="338"/>
      <c r="Q11" s="247"/>
      <c r="R11" s="248"/>
    </row>
    <row r="12" spans="1:18" ht="11.25" customHeight="1" x14ac:dyDescent="0.25">
      <c r="A12" s="1016" t="s">
        <v>148</v>
      </c>
      <c r="B12" s="955"/>
      <c r="C12" s="852">
        <f>A2A!C26</f>
        <v>0</v>
      </c>
      <c r="D12" s="852">
        <f>A2A!D26</f>
        <v>190479.12000000002</v>
      </c>
      <c r="E12" s="853">
        <f>A2A!E26</f>
        <v>7789.45</v>
      </c>
      <c r="F12" s="854">
        <f>A2A!F26</f>
        <v>2000</v>
      </c>
      <c r="G12" s="852">
        <f>A2A!G26</f>
        <v>2000</v>
      </c>
      <c r="H12" s="855">
        <f>A2A!H26</f>
        <v>2000</v>
      </c>
      <c r="I12" s="856">
        <f>A2A!I26</f>
        <v>2000</v>
      </c>
      <c r="J12" s="852">
        <f>A2A!J26</f>
        <v>2120</v>
      </c>
      <c r="K12" s="853">
        <f>A2A!K26</f>
        <v>2247.2000000000003</v>
      </c>
      <c r="L12" s="338"/>
      <c r="Q12" s="247"/>
      <c r="R12" s="248"/>
    </row>
    <row r="13" spans="1:18" ht="11.25" customHeight="1" x14ac:dyDescent="0.25">
      <c r="A13" s="1016" t="s">
        <v>1722</v>
      </c>
      <c r="B13" s="955"/>
      <c r="C13" s="852">
        <f>A2A!C32</f>
        <v>0</v>
      </c>
      <c r="D13" s="852">
        <f>A2A!D32</f>
        <v>0</v>
      </c>
      <c r="E13" s="853">
        <f>A2A!E32</f>
        <v>0</v>
      </c>
      <c r="F13" s="854">
        <f>A2A!F32</f>
        <v>0</v>
      </c>
      <c r="G13" s="852">
        <f>A2A!G32</f>
        <v>0</v>
      </c>
      <c r="H13" s="855">
        <f>A2A!H32</f>
        <v>0</v>
      </c>
      <c r="I13" s="856">
        <f>A2A!I32</f>
        <v>0</v>
      </c>
      <c r="J13" s="852">
        <f>A2A!J32</f>
        <v>0</v>
      </c>
      <c r="K13" s="853">
        <f>A2A!K32</f>
        <v>0</v>
      </c>
      <c r="L13" s="338"/>
      <c r="Q13" s="247"/>
      <c r="R13" s="248"/>
    </row>
    <row r="14" spans="1:18" ht="11.25" customHeight="1" x14ac:dyDescent="0.25">
      <c r="A14" s="1016" t="s">
        <v>1802</v>
      </c>
      <c r="B14" s="955"/>
      <c r="C14" s="1185">
        <f>A2A!C33</f>
        <v>137600</v>
      </c>
      <c r="D14" s="1185">
        <f>A2A!D33</f>
        <v>68600</v>
      </c>
      <c r="E14" s="1186">
        <f>A2A!E33</f>
        <v>8800</v>
      </c>
      <c r="F14" s="1187">
        <f>A2A!F33</f>
        <v>0</v>
      </c>
      <c r="G14" s="1185">
        <f>A2A!G33</f>
        <v>9600</v>
      </c>
      <c r="H14" s="1188">
        <f>A2A!H33</f>
        <v>9600</v>
      </c>
      <c r="I14" s="1189">
        <f>A2A!I33</f>
        <v>10000</v>
      </c>
      <c r="J14" s="1185">
        <f>A2A!J33</f>
        <v>10600</v>
      </c>
      <c r="K14" s="1186">
        <f>A2A!K33</f>
        <v>11236</v>
      </c>
      <c r="L14" s="338"/>
      <c r="Q14" s="247"/>
      <c r="R14" s="248"/>
    </row>
    <row r="15" spans="1:18" ht="11.25" customHeight="1" x14ac:dyDescent="0.25">
      <c r="A15" s="1015" t="s">
        <v>149</v>
      </c>
      <c r="B15" s="902"/>
      <c r="C15" s="903">
        <f>SUM(C16:C18)</f>
        <v>6168633.709999999</v>
      </c>
      <c r="D15" s="903">
        <f t="shared" ref="D15:K15" si="2">SUM(D16:D18)</f>
        <v>17440356.948999997</v>
      </c>
      <c r="E15" s="904">
        <f t="shared" si="2"/>
        <v>21824507.539700001</v>
      </c>
      <c r="F15" s="905">
        <f t="shared" si="2"/>
        <v>16524800</v>
      </c>
      <c r="G15" s="903">
        <f t="shared" si="2"/>
        <v>26292800</v>
      </c>
      <c r="H15" s="906">
        <f t="shared" si="2"/>
        <v>26292800</v>
      </c>
      <c r="I15" s="907">
        <f t="shared" si="2"/>
        <v>31123000</v>
      </c>
      <c r="J15" s="903">
        <f t="shared" si="2"/>
        <v>32930780</v>
      </c>
      <c r="K15" s="904">
        <f t="shared" si="2"/>
        <v>34880166.799999997</v>
      </c>
      <c r="L15" s="338"/>
      <c r="Q15" s="247"/>
      <c r="R15" s="248"/>
    </row>
    <row r="16" spans="1:18" ht="11.25" customHeight="1" x14ac:dyDescent="0.25">
      <c r="A16" s="1016" t="s">
        <v>150</v>
      </c>
      <c r="B16" s="955"/>
      <c r="C16" s="852">
        <f>A2A!C38</f>
        <v>1493289.4</v>
      </c>
      <c r="D16" s="852">
        <f>A2A!D38</f>
        <v>1992158.5290000001</v>
      </c>
      <c r="E16" s="853">
        <f>A2A!E38</f>
        <v>1856401.1599999997</v>
      </c>
      <c r="F16" s="854">
        <f>A2A!F38</f>
        <v>0</v>
      </c>
      <c r="G16" s="852">
        <f>A2A!G38</f>
        <v>9621000</v>
      </c>
      <c r="H16" s="855">
        <f>A2A!H38</f>
        <v>9621000</v>
      </c>
      <c r="I16" s="856">
        <f>A2A!I38</f>
        <v>11594500</v>
      </c>
      <c r="J16" s="852">
        <f>A2A!J38</f>
        <v>12230570</v>
      </c>
      <c r="K16" s="853">
        <f>A2A!K38</f>
        <v>12937944.200000001</v>
      </c>
      <c r="L16" s="338"/>
      <c r="Q16" s="247"/>
      <c r="R16" s="248"/>
    </row>
    <row r="17" spans="1:18" ht="11.25" customHeight="1" x14ac:dyDescent="0.25">
      <c r="A17" s="1016" t="s">
        <v>151</v>
      </c>
      <c r="B17" s="955"/>
      <c r="C17" s="852">
        <f>A2A!C42</f>
        <v>4675344.3099999996</v>
      </c>
      <c r="D17" s="852">
        <f>A2A!D42</f>
        <v>15448198.419999998</v>
      </c>
      <c r="E17" s="853">
        <f>A2A!E42</f>
        <v>19968106.379700001</v>
      </c>
      <c r="F17" s="854">
        <f>A2A!F42</f>
        <v>16524800</v>
      </c>
      <c r="G17" s="852">
        <f>A2A!G42</f>
        <v>16671800</v>
      </c>
      <c r="H17" s="855">
        <f>A2A!H42</f>
        <v>16671800</v>
      </c>
      <c r="I17" s="856">
        <f>A2A!I42</f>
        <v>19528500</v>
      </c>
      <c r="J17" s="852">
        <f>A2A!J42</f>
        <v>20700210</v>
      </c>
      <c r="K17" s="853">
        <f>A2A!K42</f>
        <v>21942222.599999998</v>
      </c>
      <c r="L17" s="338"/>
      <c r="Q17" s="247"/>
      <c r="R17" s="248"/>
    </row>
    <row r="18" spans="1:18" ht="11.25" customHeight="1" x14ac:dyDescent="0.25">
      <c r="A18" s="1016" t="s">
        <v>152</v>
      </c>
      <c r="B18" s="955"/>
      <c r="C18" s="852">
        <f>A2A!C48</f>
        <v>0</v>
      </c>
      <c r="D18" s="852">
        <f>A2A!D48</f>
        <v>0</v>
      </c>
      <c r="E18" s="853">
        <f>A2A!E48</f>
        <v>0</v>
      </c>
      <c r="F18" s="854">
        <f>A2A!F48</f>
        <v>0</v>
      </c>
      <c r="G18" s="852">
        <f>A2A!G48</f>
        <v>0</v>
      </c>
      <c r="H18" s="855">
        <f>A2A!H48</f>
        <v>0</v>
      </c>
      <c r="I18" s="856">
        <f>A2A!I48</f>
        <v>0</v>
      </c>
      <c r="J18" s="852">
        <f>A2A!J48</f>
        <v>0</v>
      </c>
      <c r="K18" s="853">
        <f>A2A!K48</f>
        <v>0</v>
      </c>
      <c r="L18" s="338"/>
      <c r="Q18" s="247"/>
      <c r="R18" s="248"/>
    </row>
    <row r="19" spans="1:18" ht="11.25" customHeight="1" x14ac:dyDescent="0.25">
      <c r="A19" s="1015" t="s">
        <v>153</v>
      </c>
      <c r="B19" s="902"/>
      <c r="C19" s="903">
        <f>SUM(C20:C23)</f>
        <v>19024992.25</v>
      </c>
      <c r="D19" s="903">
        <f t="shared" ref="D19:K19" si="3">SUM(D20:D23)</f>
        <v>24064498.265000004</v>
      </c>
      <c r="E19" s="904">
        <f t="shared" si="3"/>
        <v>17494759.140000001</v>
      </c>
      <c r="F19" s="905">
        <f t="shared" si="3"/>
        <v>11627447</v>
      </c>
      <c r="G19" s="903">
        <f t="shared" si="3"/>
        <v>14633803</v>
      </c>
      <c r="H19" s="906">
        <f t="shared" si="3"/>
        <v>14633803</v>
      </c>
      <c r="I19" s="907">
        <f t="shared" si="3"/>
        <v>21452058.976840001</v>
      </c>
      <c r="J19" s="903">
        <f>SUM(J20:J23)</f>
        <v>22739182.515450403</v>
      </c>
      <c r="K19" s="904">
        <f t="shared" si="3"/>
        <v>24103533.460377432</v>
      </c>
      <c r="L19" s="338"/>
      <c r="Q19" s="247"/>
      <c r="R19" s="248"/>
    </row>
    <row r="20" spans="1:18" ht="11.25" customHeight="1" x14ac:dyDescent="0.25">
      <c r="A20" s="1016" t="s">
        <v>654</v>
      </c>
      <c r="B20" s="955"/>
      <c r="C20" s="852">
        <f>A2A!C53</f>
        <v>9193265.0700000003</v>
      </c>
      <c r="D20" s="852">
        <f>A2A!D53</f>
        <v>7805458.0899999989</v>
      </c>
      <c r="E20" s="853">
        <f>A2A!E53</f>
        <v>8018973.6399999997</v>
      </c>
      <c r="F20" s="854">
        <f>A2A!F53</f>
        <v>5315061</v>
      </c>
      <c r="G20" s="852">
        <f>A2A!G53</f>
        <v>6924255</v>
      </c>
      <c r="H20" s="855">
        <f>A2A!H53</f>
        <v>6924255</v>
      </c>
      <c r="I20" s="856">
        <f>A2A!I53</f>
        <v>10206003.952679999</v>
      </c>
      <c r="J20" s="852">
        <f>A2A!J53</f>
        <v>10818364.189840801</v>
      </c>
      <c r="K20" s="853">
        <f>A2A!K53</f>
        <v>11467466.037231252</v>
      </c>
      <c r="L20" s="338"/>
      <c r="Q20" s="247"/>
      <c r="R20" s="248"/>
    </row>
    <row r="21" spans="1:18" ht="11.25" customHeight="1" x14ac:dyDescent="0.25">
      <c r="A21" s="1016" t="s">
        <v>958</v>
      </c>
      <c r="B21" s="955"/>
      <c r="C21" s="852">
        <f>A2A!C56</f>
        <v>5453948.8199999994</v>
      </c>
      <c r="D21" s="852">
        <f>A2A!D56</f>
        <v>12280215.235000003</v>
      </c>
      <c r="E21" s="853">
        <f>A2A!E56</f>
        <v>4036733.3700000006</v>
      </c>
      <c r="F21" s="854">
        <f>A2A!F56</f>
        <v>2116520</v>
      </c>
      <c r="G21" s="852">
        <f>A2A!G56</f>
        <v>3485084</v>
      </c>
      <c r="H21" s="855">
        <f>A2A!H56</f>
        <v>3485084</v>
      </c>
      <c r="I21" s="856">
        <f>A2A!I56</f>
        <v>3458423</v>
      </c>
      <c r="J21" s="852">
        <f>A2A!J56</f>
        <v>3665928.38</v>
      </c>
      <c r="K21" s="853">
        <f>A2A!K56</f>
        <v>3885884.0828</v>
      </c>
      <c r="L21" s="338"/>
      <c r="Q21" s="247"/>
      <c r="R21" s="248"/>
    </row>
    <row r="22" spans="1:18" ht="11.25" customHeight="1" x14ac:dyDescent="0.25">
      <c r="A22" s="1016" t="s">
        <v>1136</v>
      </c>
      <c r="B22" s="955"/>
      <c r="C22" s="1185">
        <f>A2A!C59</f>
        <v>2425440.75</v>
      </c>
      <c r="D22" s="1185">
        <f>A2A!D59</f>
        <v>1743265.68</v>
      </c>
      <c r="E22" s="1186">
        <f>A2A!E59</f>
        <v>3014392.27</v>
      </c>
      <c r="F22" s="1187">
        <f>A2A!F59</f>
        <v>1603001</v>
      </c>
      <c r="G22" s="1185">
        <f>A2A!G59</f>
        <v>1721599</v>
      </c>
      <c r="H22" s="1188">
        <f>A2A!H59</f>
        <v>1721599</v>
      </c>
      <c r="I22" s="1189">
        <f>A2A!I59</f>
        <v>4519265.4241599999</v>
      </c>
      <c r="J22" s="1185">
        <f>A2A!J59</f>
        <v>4790421.3496096004</v>
      </c>
      <c r="K22" s="1186">
        <f>A2A!K59</f>
        <v>5077846.6285861796</v>
      </c>
      <c r="L22" s="338"/>
      <c r="Q22" s="247"/>
      <c r="R22" s="248"/>
    </row>
    <row r="23" spans="1:18" ht="11.25" customHeight="1" x14ac:dyDescent="0.25">
      <c r="A23" s="1016" t="s">
        <v>1137</v>
      </c>
      <c r="B23" s="955"/>
      <c r="C23" s="852">
        <f>A2A!C63</f>
        <v>1952337.61</v>
      </c>
      <c r="D23" s="852">
        <f>A2A!D63</f>
        <v>2235559.2600000002</v>
      </c>
      <c r="E23" s="853">
        <f>A2A!E63</f>
        <v>2424659.86</v>
      </c>
      <c r="F23" s="854">
        <f>A2A!F63</f>
        <v>2592865</v>
      </c>
      <c r="G23" s="852">
        <f>A2A!G63</f>
        <v>2502865</v>
      </c>
      <c r="H23" s="855">
        <f>A2A!H63</f>
        <v>2502865</v>
      </c>
      <c r="I23" s="856">
        <f>A2A!I63</f>
        <v>3268366.6</v>
      </c>
      <c r="J23" s="852">
        <f>A2A!J63</f>
        <v>3464468.5959999999</v>
      </c>
      <c r="K23" s="853">
        <f>A2A!K63</f>
        <v>3672336.7117599999</v>
      </c>
      <c r="L23" s="338"/>
      <c r="Q23" s="247"/>
      <c r="R23" s="248"/>
    </row>
    <row r="24" spans="1:18" ht="11.25" customHeight="1" x14ac:dyDescent="0.25">
      <c r="A24" s="1015" t="s">
        <v>293</v>
      </c>
      <c r="B24" s="902">
        <v>4</v>
      </c>
      <c r="C24" s="903">
        <f>A2A!C65</f>
        <v>32903.160000000003</v>
      </c>
      <c r="D24" s="903">
        <f>A2A!D65</f>
        <v>25790.38</v>
      </c>
      <c r="E24" s="904">
        <f>A2A!E65</f>
        <v>27477.599999999999</v>
      </c>
      <c r="F24" s="905">
        <f>A2A!F65</f>
        <v>0</v>
      </c>
      <c r="G24" s="903">
        <f>A2A!G65</f>
        <v>162000</v>
      </c>
      <c r="H24" s="906">
        <f>A2A!H65</f>
        <v>162000</v>
      </c>
      <c r="I24" s="907">
        <f>A2A!I65</f>
        <v>330000</v>
      </c>
      <c r="J24" s="903">
        <f>A2A!J65</f>
        <v>349800</v>
      </c>
      <c r="K24" s="904">
        <f>A2A!K65</f>
        <v>370788</v>
      </c>
      <c r="L24" s="338"/>
      <c r="Q24" s="240"/>
      <c r="R24" s="248"/>
    </row>
    <row r="25" spans="1:18" ht="11.25" customHeight="1" x14ac:dyDescent="0.25">
      <c r="A25" s="1094" t="str">
        <f>"Total "&amp;A4</f>
        <v>Total Revenue - Standard</v>
      </c>
      <c r="B25" s="1095">
        <v>2</v>
      </c>
      <c r="C25" s="654">
        <f>C5+C9+C15+C19+C24</f>
        <v>69670135.961141288</v>
      </c>
      <c r="D25" s="654">
        <f>D5+D9+D15+D19+D24</f>
        <v>62851420.262112953</v>
      </c>
      <c r="E25" s="655">
        <f t="shared" ref="E25:K25" si="4">E5+E9+E15+E19+E24</f>
        <v>60870161.047871962</v>
      </c>
      <c r="F25" s="656">
        <f t="shared" si="4"/>
        <v>54155345.829999998</v>
      </c>
      <c r="G25" s="654">
        <f t="shared" si="4"/>
        <v>67372591</v>
      </c>
      <c r="H25" s="657">
        <f t="shared" si="4"/>
        <v>67372591</v>
      </c>
      <c r="I25" s="881">
        <f>I5+I9+I15+I19+I24</f>
        <v>82706920.062484264</v>
      </c>
      <c r="J25" s="654">
        <f t="shared" si="4"/>
        <v>88214435.266233325</v>
      </c>
      <c r="K25" s="655">
        <f t="shared" si="4"/>
        <v>93775241.376207322</v>
      </c>
      <c r="L25" s="338"/>
      <c r="Q25" s="263"/>
      <c r="R25" s="264"/>
    </row>
    <row r="26" spans="1:18" ht="5.0999999999999996" customHeight="1" x14ac:dyDescent="0.25">
      <c r="A26" s="922"/>
      <c r="B26" s="955"/>
      <c r="C26" s="205"/>
      <c r="D26" s="205"/>
      <c r="E26" s="256"/>
      <c r="F26" s="246"/>
      <c r="G26" s="205"/>
      <c r="H26" s="208"/>
      <c r="I26" s="209"/>
      <c r="J26" s="205"/>
      <c r="K26" s="256"/>
      <c r="L26" s="338"/>
      <c r="Q26" s="240"/>
    </row>
    <row r="27" spans="1:18" ht="11.25" customHeight="1" x14ac:dyDescent="0.25">
      <c r="A27" s="901" t="s">
        <v>433</v>
      </c>
      <c r="B27" s="957"/>
      <c r="C27" s="205"/>
      <c r="D27" s="205"/>
      <c r="E27" s="256"/>
      <c r="F27" s="246"/>
      <c r="G27" s="205"/>
      <c r="H27" s="208"/>
      <c r="I27" s="209"/>
      <c r="J27" s="205"/>
      <c r="K27" s="256"/>
      <c r="L27" s="338"/>
      <c r="Q27" s="240"/>
    </row>
    <row r="28" spans="1:18" ht="11.25" customHeight="1" x14ac:dyDescent="0.25">
      <c r="A28" s="1015" t="str">
        <f>A5</f>
        <v>Governance and administration</v>
      </c>
      <c r="B28" s="955"/>
      <c r="C28" s="903">
        <f>SUM(C29:C31)</f>
        <v>27139449.857982762</v>
      </c>
      <c r="D28" s="903">
        <f t="shared" ref="D28:K28" si="5">SUM(D29:D31)</f>
        <v>19567103.101436108</v>
      </c>
      <c r="E28" s="1133">
        <f t="shared" si="5"/>
        <v>17080466.580000002</v>
      </c>
      <c r="F28" s="907">
        <f t="shared" si="5"/>
        <v>30255476.628182437</v>
      </c>
      <c r="G28" s="903">
        <f t="shared" si="5"/>
        <v>35921215.142857142</v>
      </c>
      <c r="H28" s="1134">
        <f t="shared" si="5"/>
        <v>35921215.142857142</v>
      </c>
      <c r="I28" s="1135">
        <f t="shared" si="5"/>
        <v>29159580.910258397</v>
      </c>
      <c r="J28" s="903">
        <f t="shared" si="5"/>
        <v>28586155.7648739</v>
      </c>
      <c r="K28" s="1134">
        <f t="shared" si="5"/>
        <v>30417725.110766336</v>
      </c>
      <c r="L28" s="338"/>
    </row>
    <row r="29" spans="1:18" ht="11.25" customHeight="1" x14ac:dyDescent="0.25">
      <c r="A29" s="1016" t="str">
        <f t="shared" ref="A29:A47" si="6">A6</f>
        <v>Executive and council</v>
      </c>
      <c r="B29" s="955"/>
      <c r="C29" s="852">
        <f>A2A!C75</f>
        <v>2751651.0900000003</v>
      </c>
      <c r="D29" s="852">
        <f>A2A!D75</f>
        <v>3654216.5514259492</v>
      </c>
      <c r="E29" s="853">
        <f>A2A!E75</f>
        <v>3627598.6699999995</v>
      </c>
      <c r="F29" s="854">
        <f>A2A!F75</f>
        <v>0</v>
      </c>
      <c r="G29" s="852">
        <f>A2A!G75</f>
        <v>4256795</v>
      </c>
      <c r="H29" s="855">
        <f>A2A!H75</f>
        <v>4256795</v>
      </c>
      <c r="I29" s="856">
        <f>A2A!I75</f>
        <v>6303657.881972</v>
      </c>
      <c r="J29" s="852">
        <f>A2A!J75</f>
        <v>4561877.3548903205</v>
      </c>
      <c r="K29" s="853">
        <f>A2A!K75</f>
        <v>4835589.99618374</v>
      </c>
      <c r="L29" s="338"/>
    </row>
    <row r="30" spans="1:18" ht="11.25" customHeight="1" x14ac:dyDescent="0.25">
      <c r="A30" s="1016" t="str">
        <f t="shared" si="6"/>
        <v>Budget and treasury office</v>
      </c>
      <c r="B30" s="955"/>
      <c r="C30" s="1185">
        <f>A2A!C78</f>
        <v>21993066.730008643</v>
      </c>
      <c r="D30" s="1185">
        <f>A2A!D78</f>
        <v>13694688.37370215</v>
      </c>
      <c r="E30" s="1186">
        <f>A2A!E78</f>
        <v>10447845.640000002</v>
      </c>
      <c r="F30" s="1187">
        <f>A2A!F78</f>
        <v>29266935.165549092</v>
      </c>
      <c r="G30" s="1185">
        <f>A2A!G78</f>
        <v>21795826.142857142</v>
      </c>
      <c r="H30" s="1188">
        <f>A2A!H78</f>
        <v>21795826.142857142</v>
      </c>
      <c r="I30" s="1189">
        <f>A2A!I78</f>
        <v>16354474.257052317</v>
      </c>
      <c r="J30" s="1185">
        <f>A2A!J78</f>
        <v>17132742.712475456</v>
      </c>
      <c r="K30" s="1186">
        <f>A2A!K78</f>
        <v>18277107.275223982</v>
      </c>
      <c r="L30" s="338"/>
    </row>
    <row r="31" spans="1:18" ht="11.25" customHeight="1" x14ac:dyDescent="0.25">
      <c r="A31" s="1016" t="str">
        <f t="shared" si="6"/>
        <v>Corporate services</v>
      </c>
      <c r="B31" s="955"/>
      <c r="C31" s="852">
        <f>A2A!C79</f>
        <v>2394732.0379741192</v>
      </c>
      <c r="D31" s="852">
        <f>A2A!D79</f>
        <v>2218198.1763080102</v>
      </c>
      <c r="E31" s="853">
        <f>A2A!E79</f>
        <v>3005022.2699999996</v>
      </c>
      <c r="F31" s="854">
        <f>A2A!F79</f>
        <v>988541.462633344</v>
      </c>
      <c r="G31" s="852">
        <f>A2A!G79</f>
        <v>9868594</v>
      </c>
      <c r="H31" s="855">
        <f>A2A!H79</f>
        <v>9868594</v>
      </c>
      <c r="I31" s="856">
        <f>A2A!I79</f>
        <v>6501448.7712340793</v>
      </c>
      <c r="J31" s="852">
        <f>A2A!J79</f>
        <v>6891535.6975081246</v>
      </c>
      <c r="K31" s="853">
        <f>A2A!K79</f>
        <v>7305027.8393586148</v>
      </c>
      <c r="L31" s="338"/>
    </row>
    <row r="32" spans="1:18" ht="11.25" customHeight="1" x14ac:dyDescent="0.25">
      <c r="A32" s="1015" t="str">
        <f t="shared" si="6"/>
        <v>Community and public safety</v>
      </c>
      <c r="B32" s="955"/>
      <c r="C32" s="903">
        <f>SUM(C33:C37)</f>
        <v>1481674.93</v>
      </c>
      <c r="D32" s="903">
        <f t="shared" ref="D32:K32" si="7">SUM(D33:D37)</f>
        <v>825505.89000000013</v>
      </c>
      <c r="E32" s="904">
        <f t="shared" si="7"/>
        <v>998836.64</v>
      </c>
      <c r="F32" s="905">
        <f t="shared" si="7"/>
        <v>1694922.842094752</v>
      </c>
      <c r="G32" s="903">
        <f t="shared" si="7"/>
        <v>2088934.1428571427</v>
      </c>
      <c r="H32" s="906">
        <f t="shared" si="7"/>
        <v>2088934.1428571427</v>
      </c>
      <c r="I32" s="907">
        <f t="shared" si="7"/>
        <v>2708946.0006060004</v>
      </c>
      <c r="J32" s="903">
        <f t="shared" si="7"/>
        <v>2871482.76064236</v>
      </c>
      <c r="K32" s="904">
        <f t="shared" si="7"/>
        <v>3043771.7262809016</v>
      </c>
      <c r="L32" s="338"/>
    </row>
    <row r="33" spans="1:17" ht="11.25" customHeight="1" x14ac:dyDescent="0.25">
      <c r="A33" s="1016" t="str">
        <f t="shared" si="6"/>
        <v>Community and social services</v>
      </c>
      <c r="B33" s="955"/>
      <c r="C33" s="852">
        <f>A2A!C85</f>
        <v>834483.32</v>
      </c>
      <c r="D33" s="852">
        <f>A2A!D85</f>
        <v>638316.1100000001</v>
      </c>
      <c r="E33" s="853">
        <f>A2A!E85</f>
        <v>685452.02</v>
      </c>
      <c r="F33" s="854">
        <f>A2A!F85</f>
        <v>1694922.842094752</v>
      </c>
      <c r="G33" s="852">
        <f>A2A!G85</f>
        <v>1682234.1428571427</v>
      </c>
      <c r="H33" s="855">
        <f>A2A!H85</f>
        <v>1682234.1428571427</v>
      </c>
      <c r="I33" s="856">
        <f>A2A!I85</f>
        <v>2224836.0006060004</v>
      </c>
      <c r="J33" s="852">
        <f>A2A!J85</f>
        <v>2358326.1606423599</v>
      </c>
      <c r="K33" s="853">
        <f>A2A!K85</f>
        <v>2499825.7302809018</v>
      </c>
      <c r="L33" s="338"/>
    </row>
    <row r="34" spans="1:17" ht="11.25" customHeight="1" x14ac:dyDescent="0.25">
      <c r="A34" s="1016" t="str">
        <f t="shared" si="6"/>
        <v>Sport and recreation</v>
      </c>
      <c r="B34" s="955"/>
      <c r="C34" s="852">
        <f>A2A!C94</f>
        <v>478718.32</v>
      </c>
      <c r="D34" s="852">
        <f>A2A!D94</f>
        <v>23738.29</v>
      </c>
      <c r="E34" s="853">
        <f>A2A!E94</f>
        <v>848.42</v>
      </c>
      <c r="F34" s="854">
        <f>A2A!F94</f>
        <v>0</v>
      </c>
      <c r="G34" s="852">
        <f>A2A!G94</f>
        <v>120000</v>
      </c>
      <c r="H34" s="855">
        <f>A2A!H94</f>
        <v>120000</v>
      </c>
      <c r="I34" s="856">
        <f>A2A!I94</f>
        <v>148410</v>
      </c>
      <c r="J34" s="852">
        <f>A2A!J94</f>
        <v>157314.6</v>
      </c>
      <c r="K34" s="853">
        <f>A2A!K94</f>
        <v>166753.476</v>
      </c>
      <c r="L34" s="338"/>
    </row>
    <row r="35" spans="1:17" ht="11.25" customHeight="1" x14ac:dyDescent="0.25">
      <c r="A35" s="1016" t="str">
        <f t="shared" si="6"/>
        <v>Public safety</v>
      </c>
      <c r="B35" s="955"/>
      <c r="C35" s="852">
        <f>A2A!C95</f>
        <v>28629.749999999996</v>
      </c>
      <c r="D35" s="852">
        <f>A2A!D95</f>
        <v>14895.75</v>
      </c>
      <c r="E35" s="853">
        <f>A2A!E95</f>
        <v>163234.58000000002</v>
      </c>
      <c r="F35" s="854">
        <f>A2A!F95</f>
        <v>0</v>
      </c>
      <c r="G35" s="852">
        <f>A2A!G95</f>
        <v>186400</v>
      </c>
      <c r="H35" s="855">
        <f>A2A!H95</f>
        <v>186400</v>
      </c>
      <c r="I35" s="856">
        <f>A2A!I95</f>
        <v>335700</v>
      </c>
      <c r="J35" s="852">
        <f>A2A!J95</f>
        <v>355842</v>
      </c>
      <c r="K35" s="853">
        <f>A2A!K95</f>
        <v>377192.52</v>
      </c>
      <c r="L35" s="338"/>
    </row>
    <row r="36" spans="1:17" ht="11.25" customHeight="1" x14ac:dyDescent="0.25">
      <c r="A36" s="1016" t="str">
        <f t="shared" si="6"/>
        <v>Housing</v>
      </c>
      <c r="B36" s="955"/>
      <c r="C36" s="852">
        <f>A2A!C101</f>
        <v>0</v>
      </c>
      <c r="D36" s="852">
        <f>A2A!D101</f>
        <v>0</v>
      </c>
      <c r="E36" s="853">
        <f>A2A!E101</f>
        <v>0</v>
      </c>
      <c r="F36" s="854">
        <f>A2A!F101</f>
        <v>0</v>
      </c>
      <c r="G36" s="852">
        <f>A2A!G101</f>
        <v>0</v>
      </c>
      <c r="H36" s="855">
        <f>A2A!H101</f>
        <v>0</v>
      </c>
      <c r="I36" s="856">
        <f>A2A!I101</f>
        <v>0</v>
      </c>
      <c r="J36" s="852">
        <f>A2A!J101</f>
        <v>0</v>
      </c>
      <c r="K36" s="853">
        <f>A2A!K101</f>
        <v>0</v>
      </c>
      <c r="L36" s="338"/>
    </row>
    <row r="37" spans="1:17" ht="11.25" customHeight="1" x14ac:dyDescent="0.25">
      <c r="A37" s="1016" t="str">
        <f t="shared" si="6"/>
        <v>Health</v>
      </c>
      <c r="B37" s="955"/>
      <c r="C37" s="1185">
        <f>A2A!C102</f>
        <v>139843.54</v>
      </c>
      <c r="D37" s="1185">
        <f>A2A!D102</f>
        <v>148555.74</v>
      </c>
      <c r="E37" s="1186">
        <f>A2A!E102</f>
        <v>149301.62</v>
      </c>
      <c r="F37" s="1187">
        <f>A2A!F102</f>
        <v>0</v>
      </c>
      <c r="G37" s="1185">
        <f>A2A!G102</f>
        <v>100300</v>
      </c>
      <c r="H37" s="1188">
        <f>A2A!H102</f>
        <v>100300</v>
      </c>
      <c r="I37" s="1189">
        <f>A2A!I102</f>
        <v>0</v>
      </c>
      <c r="J37" s="1185">
        <f>A2A!J102</f>
        <v>0</v>
      </c>
      <c r="K37" s="1186">
        <f>A2A!K102</f>
        <v>0</v>
      </c>
      <c r="L37" s="338"/>
    </row>
    <row r="38" spans="1:17" ht="11.25" customHeight="1" x14ac:dyDescent="0.25">
      <c r="A38" s="1015" t="str">
        <f t="shared" si="6"/>
        <v>Economic and environmental services</v>
      </c>
      <c r="B38" s="902"/>
      <c r="C38" s="903">
        <f>SUM(C39:C41)</f>
        <v>5789159.1918619582</v>
      </c>
      <c r="D38" s="903">
        <f t="shared" ref="D38:K38" si="8">SUM(D39:D41)</f>
        <v>18647398.54617808</v>
      </c>
      <c r="E38" s="904">
        <f t="shared" si="8"/>
        <v>25243626.66</v>
      </c>
      <c r="F38" s="905">
        <f t="shared" si="8"/>
        <v>3434737.004825728</v>
      </c>
      <c r="G38" s="903">
        <f t="shared" si="8"/>
        <v>19744595</v>
      </c>
      <c r="H38" s="906">
        <f t="shared" si="8"/>
        <v>19744595</v>
      </c>
      <c r="I38" s="907">
        <f t="shared" si="8"/>
        <v>27850193.927476004</v>
      </c>
      <c r="J38" s="903">
        <f t="shared" si="8"/>
        <v>29521205.56312456</v>
      </c>
      <c r="K38" s="904">
        <f t="shared" si="8"/>
        <v>31292477.896912035</v>
      </c>
      <c r="L38" s="338"/>
    </row>
    <row r="39" spans="1:17" ht="11.25" customHeight="1" x14ac:dyDescent="0.25">
      <c r="A39" s="1016" t="str">
        <f t="shared" si="6"/>
        <v>Planning and development</v>
      </c>
      <c r="B39" s="955"/>
      <c r="C39" s="852">
        <f>A2A!C107</f>
        <v>4017660.6024999181</v>
      </c>
      <c r="D39" s="852">
        <f>A2A!D107</f>
        <v>4112838.1264780825</v>
      </c>
      <c r="E39" s="853">
        <f>A2A!E107</f>
        <v>4882505.41</v>
      </c>
      <c r="F39" s="854">
        <f>A2A!F107</f>
        <v>0</v>
      </c>
      <c r="G39" s="852">
        <f>A2A!G107</f>
        <v>6036059</v>
      </c>
      <c r="H39" s="855">
        <f>A2A!H107</f>
        <v>6036059</v>
      </c>
      <c r="I39" s="856">
        <f>A2A!I107</f>
        <v>8388580.5193680003</v>
      </c>
      <c r="J39" s="852">
        <f>A2A!J107</f>
        <v>8891895.3505300805</v>
      </c>
      <c r="K39" s="853">
        <f>A2A!K107</f>
        <v>9425409.0715618841</v>
      </c>
      <c r="L39" s="338"/>
    </row>
    <row r="40" spans="1:17" ht="11.25" customHeight="1" x14ac:dyDescent="0.25">
      <c r="A40" s="1016" t="str">
        <f t="shared" si="6"/>
        <v>Road transport</v>
      </c>
      <c r="B40" s="955"/>
      <c r="C40" s="852">
        <f>A2A!C111</f>
        <v>1771498.5893620402</v>
      </c>
      <c r="D40" s="852">
        <f>A2A!D111</f>
        <v>14534560.419699997</v>
      </c>
      <c r="E40" s="853">
        <f>A2A!E111</f>
        <v>20361121.25</v>
      </c>
      <c r="F40" s="854">
        <f>A2A!F111</f>
        <v>3434737.004825728</v>
      </c>
      <c r="G40" s="852">
        <f>A2A!G111</f>
        <v>13708536</v>
      </c>
      <c r="H40" s="855">
        <f>A2A!H111</f>
        <v>13708536</v>
      </c>
      <c r="I40" s="856">
        <f>A2A!I111</f>
        <v>19461613.408108003</v>
      </c>
      <c r="J40" s="852">
        <f>A2A!J111</f>
        <v>20629310.212594479</v>
      </c>
      <c r="K40" s="853">
        <f>A2A!K111</f>
        <v>21867068.82535015</v>
      </c>
      <c r="L40" s="338"/>
    </row>
    <row r="41" spans="1:17" ht="11.25" customHeight="1" x14ac:dyDescent="0.25">
      <c r="A41" s="1016" t="str">
        <f t="shared" si="6"/>
        <v>Environmental protection</v>
      </c>
      <c r="B41" s="955"/>
      <c r="C41" s="852">
        <f>A2A!C117</f>
        <v>0</v>
      </c>
      <c r="D41" s="852">
        <f>A2A!D117</f>
        <v>0</v>
      </c>
      <c r="E41" s="853">
        <f>A2A!E117</f>
        <v>0</v>
      </c>
      <c r="F41" s="854">
        <f>A2A!F117</f>
        <v>0</v>
      </c>
      <c r="G41" s="852">
        <f>A2A!G117</f>
        <v>0</v>
      </c>
      <c r="H41" s="855">
        <f>A2A!H117</f>
        <v>0</v>
      </c>
      <c r="I41" s="856">
        <f>A2A!I117</f>
        <v>0</v>
      </c>
      <c r="J41" s="852">
        <f>A2A!J117</f>
        <v>0</v>
      </c>
      <c r="K41" s="853">
        <f>A2A!K117</f>
        <v>0</v>
      </c>
      <c r="L41" s="338"/>
    </row>
    <row r="42" spans="1:17" ht="11.25" customHeight="1" x14ac:dyDescent="0.25">
      <c r="A42" s="1015" t="str">
        <f t="shared" si="6"/>
        <v>Trading services</v>
      </c>
      <c r="B42" s="902"/>
      <c r="C42" s="903">
        <f>SUM(C43:C46)</f>
        <v>15922952.356737725</v>
      </c>
      <c r="D42" s="903">
        <f t="shared" ref="D42:J42" si="9">SUM(D43:D46)</f>
        <v>21503461.91257957</v>
      </c>
      <c r="E42" s="904">
        <f t="shared" si="9"/>
        <v>22596127.405803777</v>
      </c>
      <c r="F42" s="905">
        <f>SUM(F43:F46)</f>
        <v>0</v>
      </c>
      <c r="G42" s="903">
        <f t="shared" si="9"/>
        <v>25015050</v>
      </c>
      <c r="H42" s="906">
        <f t="shared" si="9"/>
        <v>25015050</v>
      </c>
      <c r="I42" s="907">
        <f t="shared" si="9"/>
        <v>26523716.24599072</v>
      </c>
      <c r="J42" s="903">
        <f t="shared" si="9"/>
        <v>28115139.220750161</v>
      </c>
      <c r="K42" s="904">
        <f>SUM(K43:K46)</f>
        <v>29802047.573995177</v>
      </c>
      <c r="L42" s="338"/>
    </row>
    <row r="43" spans="1:17" ht="11.25" customHeight="1" x14ac:dyDescent="0.25">
      <c r="A43" s="1016" t="str">
        <f t="shared" si="6"/>
        <v>Electricity</v>
      </c>
      <c r="B43" s="955"/>
      <c r="C43" s="852">
        <f>A2A!C122</f>
        <v>5752859.9772365438</v>
      </c>
      <c r="D43" s="852">
        <f>A2A!D122</f>
        <v>8010450.4925565645</v>
      </c>
      <c r="E43" s="853">
        <f>A2A!E122</f>
        <v>9569701.9399999995</v>
      </c>
      <c r="F43" s="854">
        <f>A2A!F122</f>
        <v>0</v>
      </c>
      <c r="G43" s="852">
        <f>A2A!G122</f>
        <v>14022486</v>
      </c>
      <c r="H43" s="855">
        <f>A2A!H122</f>
        <v>14022486</v>
      </c>
      <c r="I43" s="856">
        <f>A2A!I122</f>
        <v>14099010.668808</v>
      </c>
      <c r="J43" s="852">
        <f>A2A!J122</f>
        <v>14944951.30893648</v>
      </c>
      <c r="K43" s="853">
        <f>A2A!K122</f>
        <v>15841648.387472671</v>
      </c>
      <c r="L43" s="338"/>
    </row>
    <row r="44" spans="1:17" ht="11.25" customHeight="1" x14ac:dyDescent="0.25">
      <c r="A44" s="1016" t="str">
        <f t="shared" si="6"/>
        <v>Water</v>
      </c>
      <c r="B44" s="955"/>
      <c r="C44" s="852">
        <f>A2A!C125</f>
        <v>4991198.3595011821</v>
      </c>
      <c r="D44" s="852">
        <f>A2A!D125</f>
        <v>5404811.2172535928</v>
      </c>
      <c r="E44" s="853">
        <f>A2A!E125</f>
        <v>5497506.4400000004</v>
      </c>
      <c r="F44" s="854">
        <f>A2A!F125</f>
        <v>0</v>
      </c>
      <c r="G44" s="852">
        <f>A2A!G125</f>
        <v>2722681</v>
      </c>
      <c r="H44" s="855">
        <f>A2A!H125</f>
        <v>2722681</v>
      </c>
      <c r="I44" s="856">
        <f>A2A!I125</f>
        <v>4382582.4433919992</v>
      </c>
      <c r="J44" s="852">
        <f>A2A!J125</f>
        <v>4645537.3899955209</v>
      </c>
      <c r="K44" s="853">
        <f>A2A!K125</f>
        <v>4924269.6333952518</v>
      </c>
      <c r="L44" s="338"/>
    </row>
    <row r="45" spans="1:17" ht="11.25" customHeight="1" x14ac:dyDescent="0.25">
      <c r="A45" s="1016" t="str">
        <f t="shared" si="6"/>
        <v>Waste water management</v>
      </c>
      <c r="B45" s="955"/>
      <c r="C45" s="1185">
        <f>A2A!C128</f>
        <v>3112166</v>
      </c>
      <c r="D45" s="1185">
        <f>A2A!D128</f>
        <v>4262714.8435146604</v>
      </c>
      <c r="E45" s="1186">
        <f>A2A!E128</f>
        <v>4180255.5900000003</v>
      </c>
      <c r="F45" s="1187">
        <f>A2A!F128</f>
        <v>0</v>
      </c>
      <c r="G45" s="1185">
        <f>A2A!G128</f>
        <v>4675655</v>
      </c>
      <c r="H45" s="1188">
        <f>A2A!H128</f>
        <v>4675655</v>
      </c>
      <c r="I45" s="1189">
        <f>A2A!I128</f>
        <v>4321162.3413667204</v>
      </c>
      <c r="J45" s="1185">
        <f>A2A!J128</f>
        <v>4580432.0818487229</v>
      </c>
      <c r="K45" s="1186">
        <f>A2A!K128</f>
        <v>4855258.0067596473</v>
      </c>
      <c r="L45" s="338"/>
    </row>
    <row r="46" spans="1:17" ht="11.25" customHeight="1" x14ac:dyDescent="0.25">
      <c r="A46" s="1016" t="str">
        <f t="shared" si="6"/>
        <v>Waste management</v>
      </c>
      <c r="B46" s="955"/>
      <c r="C46" s="852">
        <f>A2A!C132</f>
        <v>2066728.0200000003</v>
      </c>
      <c r="D46" s="852">
        <f>A2A!D132</f>
        <v>3825485.3592547514</v>
      </c>
      <c r="E46" s="853">
        <f>A2A!E132</f>
        <v>3348663.4358037789</v>
      </c>
      <c r="F46" s="854">
        <f>A2A!F132</f>
        <v>0</v>
      </c>
      <c r="G46" s="852">
        <f>A2A!G132</f>
        <v>3594228</v>
      </c>
      <c r="H46" s="855">
        <f>A2A!H132</f>
        <v>3594228</v>
      </c>
      <c r="I46" s="856">
        <f>A2A!I132</f>
        <v>3720960.7924240003</v>
      </c>
      <c r="J46" s="852">
        <f>A2A!J132</f>
        <v>3944218.4399694405</v>
      </c>
      <c r="K46" s="853">
        <f>A2A!K132</f>
        <v>4180871.5463676075</v>
      </c>
      <c r="L46" s="338"/>
    </row>
    <row r="47" spans="1:17" ht="11.25" customHeight="1" x14ac:dyDescent="0.25">
      <c r="A47" s="1015" t="str">
        <f t="shared" si="6"/>
        <v>Other</v>
      </c>
      <c r="B47" s="902">
        <v>4</v>
      </c>
      <c r="C47" s="903">
        <f>A2A!C134</f>
        <v>50239.369999999995</v>
      </c>
      <c r="D47" s="903">
        <f>A2A!D134</f>
        <v>27436.03</v>
      </c>
      <c r="E47" s="904">
        <f>A2A!E134</f>
        <v>5412.1200000000008</v>
      </c>
      <c r="F47" s="905">
        <f>A2A!F134</f>
        <v>0</v>
      </c>
      <c r="G47" s="903">
        <f>A2A!G134</f>
        <v>35350</v>
      </c>
      <c r="H47" s="906">
        <f>A2A!H134</f>
        <v>35350</v>
      </c>
      <c r="I47" s="907">
        <f>A2A!I134</f>
        <v>55350</v>
      </c>
      <c r="J47" s="903">
        <f>A2A!J134</f>
        <v>58635</v>
      </c>
      <c r="K47" s="904">
        <f>A2A!K134</f>
        <v>62117.1</v>
      </c>
      <c r="L47" s="338"/>
    </row>
    <row r="48" spans="1:17" ht="11.25" customHeight="1" x14ac:dyDescent="0.25">
      <c r="A48" s="1094" t="str">
        <f>"Total "&amp;A27</f>
        <v>Total Expenditure - Standard</v>
      </c>
      <c r="B48" s="1095">
        <v>3</v>
      </c>
      <c r="C48" s="654">
        <f>C28+C32+C38+C42+C47</f>
        <v>50383475.706582442</v>
      </c>
      <c r="D48" s="654">
        <f>D28+D32+D38+D42+D47</f>
        <v>60570905.480193764</v>
      </c>
      <c r="E48" s="655">
        <f>E28+E32+E38+E42+E47</f>
        <v>65924469.405803777</v>
      </c>
      <c r="F48" s="656">
        <f t="shared" ref="F48:K48" si="10">F28+F32+F38+F42+F47</f>
        <v>35385136.475102916</v>
      </c>
      <c r="G48" s="654">
        <f t="shared" si="10"/>
        <v>82805144.285714284</v>
      </c>
      <c r="H48" s="657">
        <f t="shared" si="10"/>
        <v>82805144.285714284</v>
      </c>
      <c r="I48" s="881">
        <f t="shared" si="10"/>
        <v>86297787.084331125</v>
      </c>
      <c r="J48" s="654">
        <f t="shared" si="10"/>
        <v>89152618.309390992</v>
      </c>
      <c r="K48" s="655">
        <f t="shared" si="10"/>
        <v>94618139.40795444</v>
      </c>
      <c r="L48" s="338"/>
      <c r="Q48" s="267"/>
    </row>
    <row r="49" spans="1:12" x14ac:dyDescent="0.25">
      <c r="A49" s="958" t="str">
        <f>result</f>
        <v>Surplus/(Deficit) for the year</v>
      </c>
      <c r="B49" s="959"/>
      <c r="C49" s="270">
        <f>C25-C48</f>
        <v>19286660.254558846</v>
      </c>
      <c r="D49" s="270">
        <f t="shared" ref="D49:K49" si="11">D25-D48</f>
        <v>2280514.7819191888</v>
      </c>
      <c r="E49" s="271">
        <f t="shared" si="11"/>
        <v>-5054308.3579318151</v>
      </c>
      <c r="F49" s="272">
        <f t="shared" si="11"/>
        <v>18770209.354897082</v>
      </c>
      <c r="G49" s="270">
        <f t="shared" si="11"/>
        <v>-15432553.285714284</v>
      </c>
      <c r="H49" s="269">
        <f t="shared" si="11"/>
        <v>-15432553.285714284</v>
      </c>
      <c r="I49" s="273">
        <f t="shared" si="11"/>
        <v>-3590867.0218468606</v>
      </c>
      <c r="J49" s="270">
        <f t="shared" si="11"/>
        <v>-938183.04315766692</v>
      </c>
      <c r="K49" s="271">
        <f t="shared" si="11"/>
        <v>-842898.03174711764</v>
      </c>
      <c r="L49" s="338"/>
    </row>
    <row r="50" spans="1:12" x14ac:dyDescent="0.25">
      <c r="A50" s="960" t="str">
        <f>head27a</f>
        <v>References</v>
      </c>
      <c r="B50" s="961"/>
      <c r="C50" s="847"/>
      <c r="D50" s="847"/>
      <c r="E50" s="847"/>
      <c r="F50" s="847"/>
      <c r="G50" s="847"/>
      <c r="H50" s="847"/>
      <c r="I50" s="847"/>
      <c r="J50" s="847"/>
      <c r="K50" s="847"/>
    </row>
    <row r="51" spans="1:12" ht="11.25" customHeight="1" x14ac:dyDescent="0.25">
      <c r="A51" s="962" t="s">
        <v>1135</v>
      </c>
      <c r="B51" s="961"/>
      <c r="C51" s="963"/>
      <c r="D51" s="963"/>
      <c r="E51" s="964"/>
      <c r="F51" s="964"/>
      <c r="G51" s="964"/>
      <c r="H51" s="964"/>
      <c r="I51" s="964"/>
      <c r="J51" s="964"/>
      <c r="K51" s="964"/>
    </row>
    <row r="52" spans="1:12" ht="11.25" customHeight="1" x14ac:dyDescent="0.25">
      <c r="A52" s="965" t="s">
        <v>451</v>
      </c>
      <c r="B52" s="961"/>
      <c r="C52" s="963"/>
      <c r="D52" s="963"/>
      <c r="E52" s="964"/>
      <c r="F52" s="964"/>
      <c r="G52" s="964"/>
      <c r="H52" s="964"/>
      <c r="I52" s="964"/>
      <c r="J52" s="964"/>
      <c r="K52" s="964"/>
    </row>
    <row r="53" spans="1:12" ht="11.25" customHeight="1" x14ac:dyDescent="0.25">
      <c r="A53" s="962" t="s">
        <v>452</v>
      </c>
      <c r="B53" s="961"/>
      <c r="C53" s="963"/>
      <c r="D53" s="963"/>
      <c r="E53" s="964"/>
      <c r="F53" s="964"/>
      <c r="G53" s="964"/>
      <c r="H53" s="964"/>
      <c r="I53" s="964"/>
      <c r="J53" s="964"/>
      <c r="K53" s="964"/>
    </row>
    <row r="54" spans="1:12" ht="25.5" customHeight="1" x14ac:dyDescent="0.25">
      <c r="A54" s="2704" t="s">
        <v>1211</v>
      </c>
      <c r="B54" s="2704"/>
      <c r="C54" s="2704"/>
      <c r="D54" s="2704"/>
      <c r="E54" s="2704"/>
      <c r="F54" s="2704"/>
      <c r="G54" s="2704"/>
      <c r="H54" s="2704"/>
      <c r="I54" s="2704"/>
      <c r="J54" s="2704"/>
      <c r="K54" s="2704"/>
    </row>
    <row r="55" spans="1:12" ht="11.25" customHeight="1" x14ac:dyDescent="0.25">
      <c r="A55" s="241"/>
      <c r="B55" s="232"/>
      <c r="C55" s="236"/>
      <c r="D55" s="236"/>
      <c r="E55" s="237"/>
      <c r="F55" s="237"/>
      <c r="G55" s="237"/>
      <c r="H55" s="237"/>
      <c r="I55" s="237"/>
      <c r="J55" s="237"/>
      <c r="K55" s="237"/>
    </row>
    <row r="56" spans="1:12" ht="11.25" customHeight="1" x14ac:dyDescent="0.25">
      <c r="A56" s="241"/>
      <c r="B56" s="232"/>
      <c r="C56" s="236"/>
      <c r="D56" s="236"/>
      <c r="E56" s="237"/>
      <c r="F56" s="237"/>
      <c r="G56" s="237"/>
      <c r="H56" s="237"/>
      <c r="I56" s="237"/>
      <c r="J56" s="237"/>
      <c r="K56" s="237"/>
    </row>
    <row r="57" spans="1:12" ht="11.25" customHeight="1" x14ac:dyDescent="0.25">
      <c r="A57" s="275" t="s">
        <v>154</v>
      </c>
      <c r="B57" s="238"/>
      <c r="C57" s="276">
        <f>C25-'A4-FinPerf RE'!C60</f>
        <v>0</v>
      </c>
      <c r="D57" s="276">
        <f>D25-'A4-FinPerf RE'!D60</f>
        <v>0</v>
      </c>
      <c r="E57" s="829">
        <f>E25-'A4-FinPerf RE'!E60</f>
        <v>0</v>
      </c>
      <c r="F57" s="276">
        <f>F25-'A4-FinPerf RE'!F60</f>
        <v>-8537628.0186000019</v>
      </c>
      <c r="G57" s="276">
        <f>G25-'A4-FinPerf RE'!G60</f>
        <v>0</v>
      </c>
      <c r="H57" s="276">
        <f>H25-'A4-FinPerf RE'!H60</f>
        <v>0</v>
      </c>
      <c r="I57" s="276">
        <f>I25-'A4-FinPerf RE'!J60</f>
        <v>0</v>
      </c>
      <c r="J57" s="276">
        <f>J25-'A4-FinPerf RE'!K60</f>
        <v>0</v>
      </c>
      <c r="K57" s="276">
        <f>K25-'A4-FinPerf RE'!L60</f>
        <v>0</v>
      </c>
    </row>
    <row r="58" spans="1:12" ht="11.25" customHeight="1" x14ac:dyDescent="0.25">
      <c r="A58" s="275" t="s">
        <v>877</v>
      </c>
      <c r="B58" s="238"/>
      <c r="C58" s="276">
        <f>C48-'A4-FinPerf RE'!C36</f>
        <v>0</v>
      </c>
      <c r="D58" s="276">
        <f>D48-'A4-FinPerf RE'!D36</f>
        <v>0</v>
      </c>
      <c r="E58" s="829">
        <f>E48-'A4-FinPerf RE'!E36</f>
        <v>0</v>
      </c>
      <c r="F58" s="276">
        <f>F48-'A4-FinPerf RE'!F36</f>
        <v>-34487428.074285075</v>
      </c>
      <c r="G58" s="276">
        <f>G48-'A4-FinPerf RE'!G36</f>
        <v>0</v>
      </c>
      <c r="H58" s="276">
        <f>H48-'A4-FinPerf RE'!H36</f>
        <v>0</v>
      </c>
      <c r="I58" s="276">
        <f>I48-'A4-FinPerf RE'!J36</f>
        <v>0</v>
      </c>
      <c r="J58" s="276">
        <f>J48-'A4-FinPerf RE'!K36</f>
        <v>0</v>
      </c>
      <c r="K58" s="276">
        <f>K48-'A4-FinPerf RE'!L36</f>
        <v>0</v>
      </c>
    </row>
    <row r="59" spans="1:12" ht="11.25" customHeight="1" x14ac:dyDescent="0.25"/>
    <row r="60" spans="1:12" ht="11.25" customHeight="1" x14ac:dyDescent="0.25"/>
    <row r="61" spans="1:12" ht="11.25" customHeight="1" x14ac:dyDescent="0.25"/>
    <row r="62" spans="1:12" ht="11.25" customHeight="1" x14ac:dyDescent="0.25">
      <c r="E62" s="330"/>
    </row>
    <row r="63" spans="1:12" ht="11.25" customHeight="1" x14ac:dyDescent="0.25"/>
    <row r="64" spans="1:1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sheetData>
  <sheetProtection password="C646" sheet="1" objects="1" scenarios="1"/>
  <mergeCells count="3">
    <mergeCell ref="A54:K54"/>
    <mergeCell ref="F2:H2"/>
    <mergeCell ref="I2:K2"/>
  </mergeCells>
  <phoneticPr fontId="4" type="noConversion"/>
  <pageMargins left="0.75" right="0.75" top="1" bottom="1" header="0.5" footer="0.5"/>
  <pageSetup scale="7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indexed="44"/>
    <pageSetUpPr fitToPage="1"/>
  </sheetPr>
  <dimension ref="A1:R184"/>
  <sheetViews>
    <sheetView showGridLines="0" tabSelected="1" topLeftCell="A7" workbookViewId="0">
      <selection activeCell="I39" sqref="I39"/>
    </sheetView>
  </sheetViews>
  <sheetFormatPr defaultRowHeight="12.75" x14ac:dyDescent="0.25"/>
  <cols>
    <col min="1" max="1" width="30.7109375" style="338" customWidth="1"/>
    <col min="2" max="2" width="3" style="1928" customWidth="1"/>
    <col min="3" max="11" width="9.28515625" style="338" customWidth="1"/>
    <col min="12" max="41" width="9.5703125" style="148" customWidth="1"/>
    <col min="42" max="16384" width="9.140625" style="148"/>
  </cols>
  <sheetData>
    <row r="1" spans="1:18" ht="13.5" x14ac:dyDescent="0.25">
      <c r="A1" s="1997" t="s">
        <v>2476</v>
      </c>
      <c r="B1" s="243"/>
      <c r="C1" s="243"/>
      <c r="D1" s="243"/>
      <c r="E1" s="243"/>
      <c r="F1" s="243"/>
      <c r="G1" s="243"/>
      <c r="H1" s="243"/>
      <c r="I1" s="243"/>
      <c r="J1" s="243"/>
      <c r="K1" s="243"/>
    </row>
    <row r="2" spans="1:18" ht="28.5" customHeight="1" x14ac:dyDescent="0.25">
      <c r="A2" s="2010" t="s">
        <v>2477</v>
      </c>
      <c r="B2" s="379" t="s">
        <v>429</v>
      </c>
      <c r="C2" s="149" t="s">
        <v>2478</v>
      </c>
      <c r="D2" s="149" t="s">
        <v>2479</v>
      </c>
      <c r="E2" s="1996" t="s">
        <v>2480</v>
      </c>
      <c r="F2" s="2700" t="s">
        <v>2481</v>
      </c>
      <c r="G2" s="2701"/>
      <c r="H2" s="2705"/>
      <c r="I2" s="2697" t="s">
        <v>2482</v>
      </c>
      <c r="J2" s="2698"/>
      <c r="K2" s="2699"/>
    </row>
    <row r="3" spans="1:18" ht="25.5" x14ac:dyDescent="0.25">
      <c r="A3" s="179" t="s">
        <v>667</v>
      </c>
      <c r="B3" s="2003">
        <v>1</v>
      </c>
      <c r="C3" s="2009" t="s">
        <v>1065</v>
      </c>
      <c r="D3" s="2009" t="s">
        <v>1065</v>
      </c>
      <c r="E3" s="354" t="s">
        <v>1065</v>
      </c>
      <c r="F3" s="2004" t="s">
        <v>467</v>
      </c>
      <c r="G3" s="2009" t="s">
        <v>1807</v>
      </c>
      <c r="H3" s="354" t="s">
        <v>1808</v>
      </c>
      <c r="I3" s="2004" t="s">
        <v>2483</v>
      </c>
      <c r="J3" s="2009" t="s">
        <v>2484</v>
      </c>
      <c r="K3" s="354" t="s">
        <v>2485</v>
      </c>
    </row>
    <row r="4" spans="1:18" ht="11.25" customHeight="1" x14ac:dyDescent="0.25">
      <c r="A4" s="651" t="s">
        <v>432</v>
      </c>
      <c r="B4" s="318"/>
      <c r="C4" s="2019"/>
      <c r="D4" s="2019"/>
      <c r="E4" s="2020"/>
      <c r="F4" s="2021"/>
      <c r="G4" s="2019"/>
      <c r="H4" s="2022"/>
      <c r="I4" s="2023"/>
      <c r="J4" s="2019"/>
      <c r="K4" s="2022"/>
      <c r="L4" s="338"/>
    </row>
    <row r="5" spans="1:18" ht="11.25" customHeight="1" x14ac:dyDescent="0.25">
      <c r="A5" s="1015" t="s">
        <v>141</v>
      </c>
      <c r="B5" s="902"/>
      <c r="C5" s="1071">
        <v>43371575.767341286</v>
      </c>
      <c r="D5" s="1071">
        <v>20088023.708112948</v>
      </c>
      <c r="E5" s="1226">
        <v>21110188.20817196</v>
      </c>
      <c r="F5" s="1075">
        <v>25274098.829999998</v>
      </c>
      <c r="G5" s="1071">
        <v>25517388</v>
      </c>
      <c r="H5" s="1227">
        <v>25517388</v>
      </c>
      <c r="I5" s="1228">
        <v>29016361.085644267</v>
      </c>
      <c r="J5" s="1071">
        <v>31362042.750782926</v>
      </c>
      <c r="K5" s="1227">
        <v>33538165.315829903</v>
      </c>
      <c r="L5" s="338"/>
      <c r="Q5" s="247"/>
      <c r="R5" s="248"/>
    </row>
    <row r="6" spans="1:18" ht="11.25" customHeight="1" x14ac:dyDescent="0.25">
      <c r="A6" s="1064" t="s">
        <v>142</v>
      </c>
      <c r="B6" s="902"/>
      <c r="C6" s="884">
        <v>13070</v>
      </c>
      <c r="D6" s="884">
        <v>1645.4</v>
      </c>
      <c r="E6" s="1144">
        <v>383124.6</v>
      </c>
      <c r="F6" s="885">
        <v>873000</v>
      </c>
      <c r="G6" s="884">
        <v>878000</v>
      </c>
      <c r="H6" s="920">
        <v>878000</v>
      </c>
      <c r="I6" s="1145">
        <v>1033300</v>
      </c>
      <c r="J6" s="884">
        <v>1304538</v>
      </c>
      <c r="K6" s="920">
        <v>1530910.28</v>
      </c>
      <c r="L6" s="338"/>
      <c r="Q6" s="247"/>
      <c r="R6" s="248"/>
    </row>
    <row r="7" spans="1:18" ht="11.25" customHeight="1" x14ac:dyDescent="0.25">
      <c r="A7" s="1263" t="s">
        <v>335</v>
      </c>
      <c r="B7" s="902"/>
      <c r="C7" s="1030">
        <v>13070</v>
      </c>
      <c r="D7" s="1030">
        <v>1645.4</v>
      </c>
      <c r="E7" s="2024">
        <v>383124.6</v>
      </c>
      <c r="F7" s="1031">
        <v>873000</v>
      </c>
      <c r="G7" s="1030">
        <v>878000</v>
      </c>
      <c r="H7" s="2025">
        <v>878000</v>
      </c>
      <c r="I7" s="2026">
        <v>1033300</v>
      </c>
      <c r="J7" s="1030">
        <v>1304538</v>
      </c>
      <c r="K7" s="2025">
        <v>1530910.28</v>
      </c>
      <c r="L7" s="338"/>
      <c r="Q7" s="247"/>
      <c r="R7" s="248"/>
    </row>
    <row r="8" spans="1:18" ht="11.25" customHeight="1" x14ac:dyDescent="0.25">
      <c r="A8" s="1263" t="s">
        <v>336</v>
      </c>
      <c r="B8" s="902"/>
      <c r="C8" s="1030">
        <v>0</v>
      </c>
      <c r="D8" s="1030">
        <v>0</v>
      </c>
      <c r="E8" s="2024">
        <v>0</v>
      </c>
      <c r="F8" s="1031">
        <v>0</v>
      </c>
      <c r="G8" s="1030">
        <v>0</v>
      </c>
      <c r="H8" s="2025">
        <v>0</v>
      </c>
      <c r="I8" s="2026">
        <v>0</v>
      </c>
      <c r="J8" s="1030">
        <v>0</v>
      </c>
      <c r="K8" s="2025">
        <v>0</v>
      </c>
      <c r="L8" s="338"/>
      <c r="Q8" s="247"/>
      <c r="R8" s="248"/>
    </row>
    <row r="9" spans="1:18" ht="11.25" customHeight="1" x14ac:dyDescent="0.25">
      <c r="A9" s="1064" t="s">
        <v>143</v>
      </c>
      <c r="B9" s="902"/>
      <c r="C9" s="2027">
        <v>32679776.437341284</v>
      </c>
      <c r="D9" s="2027">
        <v>19607723.618112948</v>
      </c>
      <c r="E9" s="2028">
        <v>20370443.27817196</v>
      </c>
      <c r="F9" s="2029">
        <v>24097968.829999998</v>
      </c>
      <c r="G9" s="2027">
        <v>24400188</v>
      </c>
      <c r="H9" s="2030">
        <v>24400188</v>
      </c>
      <c r="I9" s="2031">
        <v>27552461.085644267</v>
      </c>
      <c r="J9" s="2027">
        <v>29601068.750782926</v>
      </c>
      <c r="K9" s="2030">
        <v>31523432.875829902</v>
      </c>
      <c r="L9" s="338"/>
      <c r="Q9" s="247"/>
      <c r="R9" s="248"/>
    </row>
    <row r="10" spans="1:18" ht="11.25" customHeight="1" x14ac:dyDescent="0.25">
      <c r="A10" s="1064" t="s">
        <v>144</v>
      </c>
      <c r="B10" s="902"/>
      <c r="C10" s="884">
        <v>10678729.33</v>
      </c>
      <c r="D10" s="884">
        <v>478654.69000000006</v>
      </c>
      <c r="E10" s="1144">
        <v>356620.33</v>
      </c>
      <c r="F10" s="885">
        <v>303130</v>
      </c>
      <c r="G10" s="884">
        <v>239200</v>
      </c>
      <c r="H10" s="920">
        <v>239200</v>
      </c>
      <c r="I10" s="1145">
        <v>430600</v>
      </c>
      <c r="J10" s="884">
        <v>456436</v>
      </c>
      <c r="K10" s="920">
        <v>483822.16000000003</v>
      </c>
      <c r="L10" s="338"/>
      <c r="Q10" s="247"/>
      <c r="R10" s="248"/>
    </row>
    <row r="11" spans="1:18" ht="11.25" customHeight="1" x14ac:dyDescent="0.25">
      <c r="A11" s="1263" t="s">
        <v>337</v>
      </c>
      <c r="B11" s="902"/>
      <c r="C11" s="1030">
        <v>0</v>
      </c>
      <c r="D11" s="1030">
        <v>0</v>
      </c>
      <c r="E11" s="2024">
        <v>0</v>
      </c>
      <c r="F11" s="1031">
        <v>0</v>
      </c>
      <c r="G11" s="1030">
        <v>0</v>
      </c>
      <c r="H11" s="2025">
        <v>0</v>
      </c>
      <c r="I11" s="2026">
        <v>0</v>
      </c>
      <c r="J11" s="1030">
        <v>0</v>
      </c>
      <c r="K11" s="2025">
        <v>0</v>
      </c>
      <c r="L11" s="338"/>
      <c r="Q11" s="247"/>
      <c r="R11" s="248"/>
    </row>
    <row r="12" spans="1:18" ht="11.25" customHeight="1" x14ac:dyDescent="0.25">
      <c r="A12" s="1263" t="s">
        <v>338</v>
      </c>
      <c r="B12" s="902"/>
      <c r="C12" s="1030">
        <v>0</v>
      </c>
      <c r="D12" s="1030">
        <v>0</v>
      </c>
      <c r="E12" s="2024">
        <v>0</v>
      </c>
      <c r="F12" s="1031">
        <v>0</v>
      </c>
      <c r="G12" s="1030">
        <v>0</v>
      </c>
      <c r="H12" s="2025">
        <v>0</v>
      </c>
      <c r="I12" s="2026">
        <v>0</v>
      </c>
      <c r="J12" s="1030">
        <v>0</v>
      </c>
      <c r="K12" s="2025">
        <v>0</v>
      </c>
      <c r="L12" s="338"/>
      <c r="Q12" s="247"/>
      <c r="R12" s="248"/>
    </row>
    <row r="13" spans="1:18" ht="11.25" customHeight="1" x14ac:dyDescent="0.25">
      <c r="A13" s="1263" t="s">
        <v>1067</v>
      </c>
      <c r="B13" s="902"/>
      <c r="C13" s="1030">
        <v>250472.83000000002</v>
      </c>
      <c r="D13" s="1030">
        <v>300796.31000000006</v>
      </c>
      <c r="E13" s="2024">
        <v>308875.15000000002</v>
      </c>
      <c r="F13" s="1031">
        <v>303130</v>
      </c>
      <c r="G13" s="1030">
        <v>188000</v>
      </c>
      <c r="H13" s="2025">
        <v>188000</v>
      </c>
      <c r="I13" s="2026">
        <v>390000</v>
      </c>
      <c r="J13" s="1030">
        <v>413400</v>
      </c>
      <c r="K13" s="2025">
        <v>438204</v>
      </c>
      <c r="L13" s="338"/>
      <c r="Q13" s="247"/>
      <c r="R13" s="248"/>
    </row>
    <row r="14" spans="1:18" ht="11.25" customHeight="1" x14ac:dyDescent="0.25">
      <c r="A14" s="1263" t="s">
        <v>1068</v>
      </c>
      <c r="B14" s="902"/>
      <c r="C14" s="1030">
        <v>10428256.5</v>
      </c>
      <c r="D14" s="1030">
        <v>177858.38</v>
      </c>
      <c r="E14" s="2024">
        <v>47745.180000000008</v>
      </c>
      <c r="F14" s="1031">
        <v>0</v>
      </c>
      <c r="G14" s="1030">
        <v>51200</v>
      </c>
      <c r="H14" s="2025">
        <v>51200</v>
      </c>
      <c r="I14" s="2026">
        <v>40600</v>
      </c>
      <c r="J14" s="1030">
        <v>43036</v>
      </c>
      <c r="K14" s="2025">
        <v>45618.16</v>
      </c>
      <c r="L14" s="338"/>
      <c r="Q14" s="247"/>
      <c r="R14" s="248"/>
    </row>
    <row r="15" spans="1:18" ht="11.25" customHeight="1" x14ac:dyDescent="0.25">
      <c r="A15" s="1015" t="s">
        <v>145</v>
      </c>
      <c r="B15" s="902"/>
      <c r="C15" s="1071">
        <v>1072031.0737999999</v>
      </c>
      <c r="D15" s="1071">
        <v>1232750.9600000002</v>
      </c>
      <c r="E15" s="1226">
        <v>413228.56</v>
      </c>
      <c r="F15" s="1075">
        <v>729000</v>
      </c>
      <c r="G15" s="1071">
        <v>766600</v>
      </c>
      <c r="H15" s="1227">
        <v>766600</v>
      </c>
      <c r="I15" s="1228">
        <v>785500</v>
      </c>
      <c r="J15" s="1071">
        <v>832630</v>
      </c>
      <c r="K15" s="1227">
        <v>882587.79999999993</v>
      </c>
      <c r="L15" s="338"/>
      <c r="Q15" s="247"/>
      <c r="R15" s="248"/>
    </row>
    <row r="16" spans="1:18" ht="11.25" customHeight="1" x14ac:dyDescent="0.25">
      <c r="A16" s="1064" t="s">
        <v>146</v>
      </c>
      <c r="B16" s="902"/>
      <c r="C16" s="911">
        <v>442007.1838</v>
      </c>
      <c r="D16" s="911">
        <v>952391.84000000008</v>
      </c>
      <c r="E16" s="1229">
        <v>381534.11</v>
      </c>
      <c r="F16" s="912">
        <v>715000</v>
      </c>
      <c r="G16" s="911">
        <v>743000</v>
      </c>
      <c r="H16" s="1230">
        <v>743000</v>
      </c>
      <c r="I16" s="1231">
        <v>767500</v>
      </c>
      <c r="J16" s="911">
        <v>813550</v>
      </c>
      <c r="K16" s="1230">
        <v>862363</v>
      </c>
      <c r="L16" s="338"/>
      <c r="Q16" s="247"/>
      <c r="R16" s="248"/>
    </row>
    <row r="17" spans="1:18" ht="11.25" customHeight="1" x14ac:dyDescent="0.25">
      <c r="A17" s="1263" t="s">
        <v>1659</v>
      </c>
      <c r="B17" s="902"/>
      <c r="C17" s="1030">
        <v>438212.1838</v>
      </c>
      <c r="D17" s="1030">
        <v>949551.84000000008</v>
      </c>
      <c r="E17" s="2024">
        <v>370583.11</v>
      </c>
      <c r="F17" s="1031">
        <v>543000</v>
      </c>
      <c r="G17" s="1030">
        <v>728000</v>
      </c>
      <c r="H17" s="2025">
        <v>728000</v>
      </c>
      <c r="I17" s="2026">
        <v>752500</v>
      </c>
      <c r="J17" s="1030">
        <v>797650</v>
      </c>
      <c r="K17" s="2025">
        <v>845509</v>
      </c>
      <c r="L17" s="338"/>
      <c r="Q17" s="247"/>
      <c r="R17" s="248"/>
    </row>
    <row r="18" spans="1:18" ht="11.25" customHeight="1" x14ac:dyDescent="0.25">
      <c r="A18" s="1263" t="s">
        <v>815</v>
      </c>
      <c r="B18" s="902"/>
      <c r="C18" s="1030">
        <v>0</v>
      </c>
      <c r="D18" s="1030">
        <v>0</v>
      </c>
      <c r="E18" s="2024">
        <v>0</v>
      </c>
      <c r="F18" s="1031">
        <v>0</v>
      </c>
      <c r="G18" s="1030">
        <v>0</v>
      </c>
      <c r="H18" s="2025">
        <v>0</v>
      </c>
      <c r="I18" s="2026">
        <v>0</v>
      </c>
      <c r="J18" s="1030">
        <v>0</v>
      </c>
      <c r="K18" s="2025">
        <v>0</v>
      </c>
      <c r="L18" s="338"/>
      <c r="Q18" s="247"/>
      <c r="R18" s="248"/>
    </row>
    <row r="19" spans="1:18" ht="11.25" customHeight="1" x14ac:dyDescent="0.25">
      <c r="A19" s="1263" t="s">
        <v>816</v>
      </c>
      <c r="B19" s="902"/>
      <c r="C19" s="1030">
        <v>0</v>
      </c>
      <c r="D19" s="1030">
        <v>0</v>
      </c>
      <c r="E19" s="2024">
        <v>0</v>
      </c>
      <c r="F19" s="1031">
        <v>0</v>
      </c>
      <c r="G19" s="1030">
        <v>0</v>
      </c>
      <c r="H19" s="2025">
        <v>0</v>
      </c>
      <c r="I19" s="2026">
        <v>0</v>
      </c>
      <c r="J19" s="1030">
        <v>0</v>
      </c>
      <c r="K19" s="2025">
        <v>0</v>
      </c>
      <c r="L19" s="338"/>
      <c r="Q19" s="247"/>
      <c r="R19" s="248"/>
    </row>
    <row r="20" spans="1:18" ht="11.25" customHeight="1" x14ac:dyDescent="0.25">
      <c r="A20" s="1263" t="s">
        <v>817</v>
      </c>
      <c r="B20" s="902"/>
      <c r="C20" s="1030">
        <v>3795</v>
      </c>
      <c r="D20" s="1030">
        <v>2840</v>
      </c>
      <c r="E20" s="2024">
        <v>10951</v>
      </c>
      <c r="F20" s="1031">
        <v>10000</v>
      </c>
      <c r="G20" s="1030">
        <v>15000</v>
      </c>
      <c r="H20" s="2025">
        <v>15000</v>
      </c>
      <c r="I20" s="2026">
        <v>15000</v>
      </c>
      <c r="J20" s="1030">
        <v>15900</v>
      </c>
      <c r="K20" s="2025">
        <v>16854</v>
      </c>
      <c r="L20" s="338"/>
      <c r="Q20" s="247"/>
      <c r="R20" s="248"/>
    </row>
    <row r="21" spans="1:18" ht="11.25" customHeight="1" x14ac:dyDescent="0.25">
      <c r="A21" s="1263" t="s">
        <v>1660</v>
      </c>
      <c r="B21" s="902"/>
      <c r="C21" s="1030">
        <v>0</v>
      </c>
      <c r="D21" s="1030">
        <v>0</v>
      </c>
      <c r="E21" s="2024">
        <v>0</v>
      </c>
      <c r="F21" s="1031">
        <v>0</v>
      </c>
      <c r="G21" s="1030">
        <v>0</v>
      </c>
      <c r="H21" s="2025">
        <v>0</v>
      </c>
      <c r="I21" s="2026">
        <v>0</v>
      </c>
      <c r="J21" s="1030">
        <v>0</v>
      </c>
      <c r="K21" s="2025">
        <v>0</v>
      </c>
      <c r="L21" s="338"/>
      <c r="Q21" s="247"/>
      <c r="R21" s="248"/>
    </row>
    <row r="22" spans="1:18" ht="11.25" customHeight="1" x14ac:dyDescent="0.25">
      <c r="A22" s="1263" t="s">
        <v>1661</v>
      </c>
      <c r="B22" s="902"/>
      <c r="C22" s="1030">
        <v>0</v>
      </c>
      <c r="D22" s="1030">
        <v>0</v>
      </c>
      <c r="E22" s="2024">
        <v>0</v>
      </c>
      <c r="F22" s="1031">
        <v>0</v>
      </c>
      <c r="G22" s="1030">
        <v>0</v>
      </c>
      <c r="H22" s="2025">
        <v>0</v>
      </c>
      <c r="I22" s="2026">
        <v>0</v>
      </c>
      <c r="J22" s="1030">
        <v>0</v>
      </c>
      <c r="K22" s="2025">
        <v>0</v>
      </c>
      <c r="L22" s="338"/>
      <c r="Q22" s="247"/>
      <c r="R22" s="248"/>
    </row>
    <row r="23" spans="1:18" ht="11.25" customHeight="1" x14ac:dyDescent="0.25">
      <c r="A23" s="1263" t="s">
        <v>1662</v>
      </c>
      <c r="B23" s="902"/>
      <c r="C23" s="1030">
        <v>0</v>
      </c>
      <c r="D23" s="1030">
        <v>0</v>
      </c>
      <c r="E23" s="2024">
        <v>0</v>
      </c>
      <c r="F23" s="1031">
        <v>162000</v>
      </c>
      <c r="G23" s="1030">
        <v>0</v>
      </c>
      <c r="H23" s="2025">
        <v>0</v>
      </c>
      <c r="I23" s="2026">
        <v>0</v>
      </c>
      <c r="J23" s="1030">
        <v>0</v>
      </c>
      <c r="K23" s="2025">
        <v>0</v>
      </c>
      <c r="L23" s="338"/>
      <c r="Q23" s="247"/>
      <c r="R23" s="248"/>
    </row>
    <row r="24" spans="1:18" ht="11.25" customHeight="1" x14ac:dyDescent="0.25">
      <c r="A24" s="1263" t="s">
        <v>1663</v>
      </c>
      <c r="B24" s="902"/>
      <c r="C24" s="1030">
        <v>0</v>
      </c>
      <c r="D24" s="1030">
        <v>0</v>
      </c>
      <c r="E24" s="2024">
        <v>0</v>
      </c>
      <c r="F24" s="1031">
        <v>0</v>
      </c>
      <c r="G24" s="1030">
        <v>0</v>
      </c>
      <c r="H24" s="2025">
        <v>0</v>
      </c>
      <c r="I24" s="2026">
        <v>0</v>
      </c>
      <c r="J24" s="1030">
        <v>0</v>
      </c>
      <c r="K24" s="2025">
        <v>0</v>
      </c>
      <c r="L24" s="338"/>
      <c r="Q24" s="247"/>
      <c r="R24" s="248"/>
    </row>
    <row r="25" spans="1:18" ht="11.25" customHeight="1" x14ac:dyDescent="0.25">
      <c r="A25" s="1064" t="s">
        <v>147</v>
      </c>
      <c r="B25" s="902"/>
      <c r="C25" s="1030">
        <v>492423.89</v>
      </c>
      <c r="D25" s="1030">
        <v>21280</v>
      </c>
      <c r="E25" s="2024">
        <v>15105</v>
      </c>
      <c r="F25" s="1031">
        <v>12000</v>
      </c>
      <c r="G25" s="1030">
        <v>12000</v>
      </c>
      <c r="H25" s="2025">
        <v>12000</v>
      </c>
      <c r="I25" s="2026">
        <v>6000</v>
      </c>
      <c r="J25" s="1030">
        <v>6360</v>
      </c>
      <c r="K25" s="2025">
        <v>6741.6</v>
      </c>
      <c r="L25" s="338"/>
      <c r="Q25" s="247"/>
      <c r="R25" s="248"/>
    </row>
    <row r="26" spans="1:18" ht="11.25" customHeight="1" x14ac:dyDescent="0.25">
      <c r="A26" s="1064" t="s">
        <v>148</v>
      </c>
      <c r="B26" s="902"/>
      <c r="C26" s="911">
        <v>0</v>
      </c>
      <c r="D26" s="911">
        <v>190479.12000000002</v>
      </c>
      <c r="E26" s="1229">
        <v>7789.45</v>
      </c>
      <c r="F26" s="912">
        <v>2000</v>
      </c>
      <c r="G26" s="911">
        <v>2000</v>
      </c>
      <c r="H26" s="1230">
        <v>2000</v>
      </c>
      <c r="I26" s="1231">
        <v>2000</v>
      </c>
      <c r="J26" s="911">
        <v>2120</v>
      </c>
      <c r="K26" s="1230">
        <v>2247.2000000000003</v>
      </c>
      <c r="L26" s="338"/>
      <c r="Q26" s="247"/>
      <c r="R26" s="248"/>
    </row>
    <row r="27" spans="1:18" ht="11.25" customHeight="1" x14ac:dyDescent="0.25">
      <c r="A27" s="1263" t="s">
        <v>1664</v>
      </c>
      <c r="B27" s="902"/>
      <c r="C27" s="1030">
        <v>0</v>
      </c>
      <c r="D27" s="1030">
        <v>0</v>
      </c>
      <c r="E27" s="2024">
        <v>0</v>
      </c>
      <c r="F27" s="1031">
        <v>0</v>
      </c>
      <c r="G27" s="1030">
        <v>0</v>
      </c>
      <c r="H27" s="2025">
        <v>0</v>
      </c>
      <c r="I27" s="2026">
        <v>0</v>
      </c>
      <c r="J27" s="1030">
        <v>0</v>
      </c>
      <c r="K27" s="2025">
        <v>0</v>
      </c>
      <c r="L27" s="338"/>
      <c r="Q27" s="247"/>
      <c r="R27" s="248"/>
    </row>
    <row r="28" spans="1:18" ht="11.25" customHeight="1" x14ac:dyDescent="0.25">
      <c r="A28" s="1263" t="s">
        <v>1530</v>
      </c>
      <c r="B28" s="902"/>
      <c r="C28" s="1030">
        <v>0</v>
      </c>
      <c r="D28" s="1030">
        <v>190479.12000000002</v>
      </c>
      <c r="E28" s="2024">
        <v>7789.45</v>
      </c>
      <c r="F28" s="1031">
        <v>2000</v>
      </c>
      <c r="G28" s="1030">
        <v>2000</v>
      </c>
      <c r="H28" s="2025">
        <v>2000</v>
      </c>
      <c r="I28" s="2026">
        <v>2000</v>
      </c>
      <c r="J28" s="1030">
        <v>2120</v>
      </c>
      <c r="K28" s="2025">
        <v>2247.2000000000003</v>
      </c>
      <c r="L28" s="338"/>
      <c r="Q28" s="247"/>
      <c r="R28" s="248"/>
    </row>
    <row r="29" spans="1:18" ht="11.25" customHeight="1" x14ac:dyDescent="0.25">
      <c r="A29" s="1263" t="s">
        <v>796</v>
      </c>
      <c r="B29" s="902"/>
      <c r="C29" s="1030">
        <v>0</v>
      </c>
      <c r="D29" s="1030">
        <v>0</v>
      </c>
      <c r="E29" s="2024">
        <v>0</v>
      </c>
      <c r="F29" s="1031">
        <v>0</v>
      </c>
      <c r="G29" s="1030">
        <v>0</v>
      </c>
      <c r="H29" s="2025">
        <v>0</v>
      </c>
      <c r="I29" s="2026">
        <v>0</v>
      </c>
      <c r="J29" s="1030">
        <v>0</v>
      </c>
      <c r="K29" s="2025">
        <v>0</v>
      </c>
      <c r="L29" s="338"/>
      <c r="Q29" s="247"/>
      <c r="R29" s="248"/>
    </row>
    <row r="30" spans="1:18" ht="11.25" customHeight="1" x14ac:dyDescent="0.25">
      <c r="A30" s="1263" t="s">
        <v>137</v>
      </c>
      <c r="B30" s="902"/>
      <c r="C30" s="1030">
        <v>0</v>
      </c>
      <c r="D30" s="1030">
        <v>0</v>
      </c>
      <c r="E30" s="2024">
        <v>0</v>
      </c>
      <c r="F30" s="1031">
        <v>0</v>
      </c>
      <c r="G30" s="1030">
        <v>0</v>
      </c>
      <c r="H30" s="2025">
        <v>0</v>
      </c>
      <c r="I30" s="2026">
        <v>0</v>
      </c>
      <c r="J30" s="1030">
        <v>0</v>
      </c>
      <c r="K30" s="2025">
        <v>0</v>
      </c>
      <c r="L30" s="338"/>
      <c r="Q30" s="247"/>
      <c r="R30" s="248"/>
    </row>
    <row r="31" spans="1:18" ht="11.25" customHeight="1" x14ac:dyDescent="0.25">
      <c r="A31" s="1263" t="s">
        <v>293</v>
      </c>
      <c r="B31" s="902"/>
      <c r="C31" s="1030">
        <v>0</v>
      </c>
      <c r="D31" s="1030">
        <v>0</v>
      </c>
      <c r="E31" s="2024">
        <v>0</v>
      </c>
      <c r="F31" s="1031">
        <v>0</v>
      </c>
      <c r="G31" s="1030">
        <v>0</v>
      </c>
      <c r="H31" s="2025">
        <v>0</v>
      </c>
      <c r="I31" s="2026">
        <v>0</v>
      </c>
      <c r="J31" s="1030">
        <v>0</v>
      </c>
      <c r="K31" s="2025">
        <v>0</v>
      </c>
      <c r="L31" s="338"/>
      <c r="Q31" s="247"/>
      <c r="R31" s="248"/>
    </row>
    <row r="32" spans="1:18" ht="11.25" customHeight="1" x14ac:dyDescent="0.25">
      <c r="A32" s="1064" t="s">
        <v>1722</v>
      </c>
      <c r="B32" s="902"/>
      <c r="C32" s="2032">
        <v>0</v>
      </c>
      <c r="D32" s="2032">
        <v>0</v>
      </c>
      <c r="E32" s="2033">
        <v>0</v>
      </c>
      <c r="F32" s="2034">
        <v>0</v>
      </c>
      <c r="G32" s="2032">
        <v>0</v>
      </c>
      <c r="H32" s="2035">
        <v>0</v>
      </c>
      <c r="I32" s="2036">
        <v>0</v>
      </c>
      <c r="J32" s="2032">
        <v>0</v>
      </c>
      <c r="K32" s="2035">
        <v>0</v>
      </c>
      <c r="L32" s="338"/>
      <c r="Q32" s="247"/>
      <c r="R32" s="248"/>
    </row>
    <row r="33" spans="1:18" ht="11.25" customHeight="1" x14ac:dyDescent="0.25">
      <c r="A33" s="1064" t="s">
        <v>1802</v>
      </c>
      <c r="B33" s="902"/>
      <c r="C33" s="911">
        <v>137600</v>
      </c>
      <c r="D33" s="911">
        <v>68600</v>
      </c>
      <c r="E33" s="1229">
        <v>8800</v>
      </c>
      <c r="F33" s="912">
        <v>0</v>
      </c>
      <c r="G33" s="911">
        <v>9600</v>
      </c>
      <c r="H33" s="1230">
        <v>9600</v>
      </c>
      <c r="I33" s="1231">
        <v>10000</v>
      </c>
      <c r="J33" s="911">
        <v>10600</v>
      </c>
      <c r="K33" s="1230">
        <v>11236</v>
      </c>
      <c r="L33" s="338"/>
      <c r="Q33" s="247"/>
      <c r="R33" s="248"/>
    </row>
    <row r="34" spans="1:18" ht="11.25" customHeight="1" x14ac:dyDescent="0.25">
      <c r="A34" s="1263" t="s">
        <v>1289</v>
      </c>
      <c r="B34" s="902"/>
      <c r="C34" s="1030">
        <v>0</v>
      </c>
      <c r="D34" s="1030">
        <v>0</v>
      </c>
      <c r="E34" s="2024">
        <v>0</v>
      </c>
      <c r="F34" s="1031">
        <v>0</v>
      </c>
      <c r="G34" s="1030">
        <v>0</v>
      </c>
      <c r="H34" s="2025">
        <v>0</v>
      </c>
      <c r="I34" s="2026">
        <v>0</v>
      </c>
      <c r="J34" s="1030">
        <v>0</v>
      </c>
      <c r="K34" s="2025">
        <v>0</v>
      </c>
      <c r="L34" s="338"/>
      <c r="Q34" s="247"/>
      <c r="R34" s="248"/>
    </row>
    <row r="35" spans="1:18" ht="11.25" customHeight="1" x14ac:dyDescent="0.25">
      <c r="A35" s="1263" t="s">
        <v>631</v>
      </c>
      <c r="B35" s="902"/>
      <c r="C35" s="1030">
        <v>0</v>
      </c>
      <c r="D35" s="1030">
        <v>0</v>
      </c>
      <c r="E35" s="2024">
        <v>0</v>
      </c>
      <c r="F35" s="1031">
        <v>0</v>
      </c>
      <c r="G35" s="1030">
        <v>0</v>
      </c>
      <c r="H35" s="2025">
        <v>0</v>
      </c>
      <c r="I35" s="2026">
        <v>0</v>
      </c>
      <c r="J35" s="1030">
        <v>0</v>
      </c>
      <c r="K35" s="2025">
        <v>0</v>
      </c>
      <c r="L35" s="338"/>
      <c r="Q35" s="247"/>
      <c r="R35" s="248"/>
    </row>
    <row r="36" spans="1:18" ht="11.25" customHeight="1" x14ac:dyDescent="0.25">
      <c r="A36" s="1263" t="s">
        <v>2391</v>
      </c>
      <c r="B36" s="902"/>
      <c r="C36" s="1030">
        <v>137600</v>
      </c>
      <c r="D36" s="1030">
        <v>68600</v>
      </c>
      <c r="E36" s="2024">
        <v>8800</v>
      </c>
      <c r="F36" s="1031">
        <v>0</v>
      </c>
      <c r="G36" s="1030">
        <v>9600</v>
      </c>
      <c r="H36" s="2025">
        <v>9600</v>
      </c>
      <c r="I36" s="2026">
        <v>10000</v>
      </c>
      <c r="J36" s="1030">
        <v>10600</v>
      </c>
      <c r="K36" s="2025">
        <v>11236</v>
      </c>
      <c r="L36" s="338"/>
      <c r="Q36" s="247"/>
      <c r="R36" s="248"/>
    </row>
    <row r="37" spans="1:18" ht="11.25" customHeight="1" x14ac:dyDescent="0.25">
      <c r="A37" s="1015" t="s">
        <v>149</v>
      </c>
      <c r="B37" s="902"/>
      <c r="C37" s="1071">
        <v>6168633.709999999</v>
      </c>
      <c r="D37" s="1071">
        <v>17440356.948999997</v>
      </c>
      <c r="E37" s="1226">
        <v>21824507.539700001</v>
      </c>
      <c r="F37" s="1075">
        <v>16524800</v>
      </c>
      <c r="G37" s="1071">
        <v>26292800</v>
      </c>
      <c r="H37" s="1227">
        <v>26292800</v>
      </c>
      <c r="I37" s="1228">
        <v>31123000</v>
      </c>
      <c r="J37" s="1071">
        <v>32930780</v>
      </c>
      <c r="K37" s="1227">
        <v>34880166.799999997</v>
      </c>
      <c r="L37" s="338"/>
      <c r="Q37" s="247"/>
      <c r="R37" s="248"/>
    </row>
    <row r="38" spans="1:18" ht="11.25" customHeight="1" x14ac:dyDescent="0.25">
      <c r="A38" s="1064" t="s">
        <v>150</v>
      </c>
      <c r="B38" s="902"/>
      <c r="C38" s="911">
        <v>1493289.4</v>
      </c>
      <c r="D38" s="911">
        <v>1992158.5290000001</v>
      </c>
      <c r="E38" s="1229">
        <v>1856401.1599999997</v>
      </c>
      <c r="F38" s="912">
        <v>0</v>
      </c>
      <c r="G38" s="911">
        <v>9621000</v>
      </c>
      <c r="H38" s="1230">
        <v>9621000</v>
      </c>
      <c r="I38" s="1231">
        <v>11594500</v>
      </c>
      <c r="J38" s="911">
        <v>12230570</v>
      </c>
      <c r="K38" s="1230">
        <v>12937944.200000001</v>
      </c>
      <c r="L38" s="338"/>
      <c r="Q38" s="247"/>
      <c r="R38" s="248"/>
    </row>
    <row r="39" spans="1:18" ht="11.25" customHeight="1" x14ac:dyDescent="0.25">
      <c r="A39" s="1263" t="s">
        <v>571</v>
      </c>
      <c r="B39" s="902"/>
      <c r="C39" s="1030">
        <v>1493289.4</v>
      </c>
      <c r="D39" s="1030">
        <v>1992158.5290000001</v>
      </c>
      <c r="E39" s="2024">
        <v>1856401.1599999997</v>
      </c>
      <c r="F39" s="1031">
        <v>0</v>
      </c>
      <c r="G39" s="1030">
        <v>9621000</v>
      </c>
      <c r="H39" s="2025">
        <v>9621000</v>
      </c>
      <c r="I39" s="2026">
        <v>11594500</v>
      </c>
      <c r="J39" s="1030">
        <v>12230570</v>
      </c>
      <c r="K39" s="2025">
        <v>12937944.200000001</v>
      </c>
      <c r="L39" s="338"/>
      <c r="Q39" s="247"/>
      <c r="R39" s="248"/>
    </row>
    <row r="40" spans="1:18" ht="11.25" customHeight="1" x14ac:dyDescent="0.25">
      <c r="A40" s="1263" t="s">
        <v>629</v>
      </c>
      <c r="B40" s="902"/>
      <c r="C40" s="1030">
        <v>0</v>
      </c>
      <c r="D40" s="1030">
        <v>0</v>
      </c>
      <c r="E40" s="2024">
        <v>0</v>
      </c>
      <c r="F40" s="1031">
        <v>0</v>
      </c>
      <c r="G40" s="1030">
        <v>0</v>
      </c>
      <c r="H40" s="2025">
        <v>0</v>
      </c>
      <c r="I40" s="2026">
        <v>0</v>
      </c>
      <c r="J40" s="1030">
        <v>0</v>
      </c>
      <c r="K40" s="2025">
        <v>0</v>
      </c>
      <c r="L40" s="338"/>
      <c r="Q40" s="247"/>
      <c r="R40" s="248"/>
    </row>
    <row r="41" spans="1:18" ht="11.25" customHeight="1" x14ac:dyDescent="0.25">
      <c r="A41" s="1263" t="s">
        <v>97</v>
      </c>
      <c r="B41" s="902"/>
      <c r="C41" s="1030">
        <v>0</v>
      </c>
      <c r="D41" s="1030">
        <v>0</v>
      </c>
      <c r="E41" s="2024">
        <v>0</v>
      </c>
      <c r="F41" s="1031">
        <v>0</v>
      </c>
      <c r="G41" s="1030">
        <v>0</v>
      </c>
      <c r="H41" s="2025">
        <v>0</v>
      </c>
      <c r="I41" s="2026">
        <v>0</v>
      </c>
      <c r="J41" s="1030">
        <v>0</v>
      </c>
      <c r="K41" s="2025">
        <v>0</v>
      </c>
      <c r="L41" s="338"/>
      <c r="Q41" s="247"/>
      <c r="R41" s="248"/>
    </row>
    <row r="42" spans="1:18" ht="11.25" customHeight="1" x14ac:dyDescent="0.25">
      <c r="A42" s="1064" t="s">
        <v>151</v>
      </c>
      <c r="B42" s="902"/>
      <c r="C42" s="911">
        <v>4675344.3099999996</v>
      </c>
      <c r="D42" s="911">
        <v>15448198.419999998</v>
      </c>
      <c r="E42" s="1229">
        <v>19968106.379700001</v>
      </c>
      <c r="F42" s="912">
        <v>16524800</v>
      </c>
      <c r="G42" s="911">
        <v>16671800</v>
      </c>
      <c r="H42" s="1230">
        <v>16671800</v>
      </c>
      <c r="I42" s="1231">
        <v>19528500</v>
      </c>
      <c r="J42" s="911">
        <v>20700210</v>
      </c>
      <c r="K42" s="1230">
        <v>21942222.599999998</v>
      </c>
      <c r="L42" s="338"/>
      <c r="Q42" s="247"/>
      <c r="R42" s="248"/>
    </row>
    <row r="43" spans="1:18" ht="11.25" customHeight="1" x14ac:dyDescent="0.25">
      <c r="A43" s="1263" t="s">
        <v>736</v>
      </c>
      <c r="B43" s="902"/>
      <c r="C43" s="1030">
        <v>0</v>
      </c>
      <c r="D43" s="1030">
        <v>0</v>
      </c>
      <c r="E43" s="2024">
        <v>243130.72999999998</v>
      </c>
      <c r="F43" s="1031">
        <v>0</v>
      </c>
      <c r="G43" s="1030">
        <v>2500</v>
      </c>
      <c r="H43" s="2025">
        <v>2500</v>
      </c>
      <c r="I43" s="2026">
        <v>2500</v>
      </c>
      <c r="J43" s="1030">
        <v>2650</v>
      </c>
      <c r="K43" s="2025">
        <v>2809</v>
      </c>
      <c r="L43" s="338"/>
      <c r="Q43" s="247"/>
      <c r="R43" s="248"/>
    </row>
    <row r="44" spans="1:18" ht="11.25" customHeight="1" x14ac:dyDescent="0.25">
      <c r="A44" s="1263" t="s">
        <v>737</v>
      </c>
      <c r="B44" s="902"/>
      <c r="C44" s="1030">
        <v>0</v>
      </c>
      <c r="D44" s="1030">
        <v>0</v>
      </c>
      <c r="E44" s="2024">
        <v>0</v>
      </c>
      <c r="F44" s="1031">
        <v>0</v>
      </c>
      <c r="G44" s="1030">
        <v>0</v>
      </c>
      <c r="H44" s="2025">
        <v>0</v>
      </c>
      <c r="I44" s="2026">
        <v>0</v>
      </c>
      <c r="J44" s="1030">
        <v>0</v>
      </c>
      <c r="K44" s="2025">
        <v>0</v>
      </c>
      <c r="L44" s="338"/>
      <c r="Q44" s="247"/>
      <c r="R44" s="248"/>
    </row>
    <row r="45" spans="1:18" ht="11.25" customHeight="1" x14ac:dyDescent="0.25">
      <c r="A45" s="1263" t="s">
        <v>738</v>
      </c>
      <c r="B45" s="902"/>
      <c r="C45" s="1030">
        <v>0</v>
      </c>
      <c r="D45" s="1030">
        <v>0</v>
      </c>
      <c r="E45" s="2024">
        <v>0</v>
      </c>
      <c r="F45" s="1031">
        <v>0</v>
      </c>
      <c r="G45" s="1030">
        <v>0</v>
      </c>
      <c r="H45" s="2025">
        <v>0</v>
      </c>
      <c r="I45" s="2026">
        <v>0</v>
      </c>
      <c r="J45" s="1030">
        <v>0</v>
      </c>
      <c r="K45" s="2025">
        <v>0</v>
      </c>
      <c r="L45" s="338"/>
      <c r="Q45" s="247"/>
      <c r="R45" s="248"/>
    </row>
    <row r="46" spans="1:18" ht="11.25" customHeight="1" x14ac:dyDescent="0.25">
      <c r="A46" s="1263" t="s">
        <v>818</v>
      </c>
      <c r="B46" s="902"/>
      <c r="C46" s="1030">
        <v>4675344.3099999996</v>
      </c>
      <c r="D46" s="1030">
        <v>15448198.419999998</v>
      </c>
      <c r="E46" s="2024">
        <v>19724975.649700001</v>
      </c>
      <c r="F46" s="1031">
        <v>16524800</v>
      </c>
      <c r="G46" s="1030">
        <v>16669300</v>
      </c>
      <c r="H46" s="2025">
        <v>16669300</v>
      </c>
      <c r="I46" s="2026">
        <v>19526000</v>
      </c>
      <c r="J46" s="1030">
        <v>20697560</v>
      </c>
      <c r="K46" s="2025">
        <v>21939413.599999998</v>
      </c>
      <c r="L46" s="338"/>
      <c r="Q46" s="247"/>
      <c r="R46" s="248"/>
    </row>
    <row r="47" spans="1:18" ht="11.25" customHeight="1" x14ac:dyDescent="0.25">
      <c r="A47" s="1263" t="s">
        <v>293</v>
      </c>
      <c r="B47" s="902"/>
      <c r="C47" s="1030">
        <v>0</v>
      </c>
      <c r="D47" s="1030">
        <v>0</v>
      </c>
      <c r="E47" s="2024">
        <v>0</v>
      </c>
      <c r="F47" s="1031">
        <v>0</v>
      </c>
      <c r="G47" s="1030">
        <v>0</v>
      </c>
      <c r="H47" s="2025">
        <v>0</v>
      </c>
      <c r="I47" s="2026">
        <v>0</v>
      </c>
      <c r="J47" s="1030">
        <v>0</v>
      </c>
      <c r="K47" s="2025">
        <v>0</v>
      </c>
      <c r="L47" s="338"/>
      <c r="Q47" s="247"/>
      <c r="R47" s="248"/>
    </row>
    <row r="48" spans="1:18" ht="11.25" customHeight="1" x14ac:dyDescent="0.25">
      <c r="A48" s="1064" t="s">
        <v>152</v>
      </c>
      <c r="B48" s="902"/>
      <c r="C48" s="911">
        <v>0</v>
      </c>
      <c r="D48" s="911">
        <v>0</v>
      </c>
      <c r="E48" s="1229">
        <v>0</v>
      </c>
      <c r="F48" s="912">
        <v>0</v>
      </c>
      <c r="G48" s="911">
        <v>0</v>
      </c>
      <c r="H48" s="1230">
        <v>0</v>
      </c>
      <c r="I48" s="1231">
        <v>0</v>
      </c>
      <c r="J48" s="911">
        <v>0</v>
      </c>
      <c r="K48" s="1230">
        <v>0</v>
      </c>
      <c r="L48" s="338"/>
      <c r="Q48" s="247"/>
      <c r="R48" s="248"/>
    </row>
    <row r="49" spans="1:18" ht="11.25" customHeight="1" x14ac:dyDescent="0.25">
      <c r="A49" s="1263" t="s">
        <v>730</v>
      </c>
      <c r="B49" s="902"/>
      <c r="C49" s="1030">
        <v>0</v>
      </c>
      <c r="D49" s="1030">
        <v>0</v>
      </c>
      <c r="E49" s="2024">
        <v>0</v>
      </c>
      <c r="F49" s="1031">
        <v>0</v>
      </c>
      <c r="G49" s="1030">
        <v>0</v>
      </c>
      <c r="H49" s="2025">
        <v>0</v>
      </c>
      <c r="I49" s="2026">
        <v>0</v>
      </c>
      <c r="J49" s="1030">
        <v>0</v>
      </c>
      <c r="K49" s="2025">
        <v>0</v>
      </c>
      <c r="L49" s="338"/>
      <c r="Q49" s="247"/>
      <c r="R49" s="248"/>
    </row>
    <row r="50" spans="1:18" ht="11.25" customHeight="1" x14ac:dyDescent="0.25">
      <c r="A50" s="1263" t="s">
        <v>731</v>
      </c>
      <c r="B50" s="902"/>
      <c r="C50" s="1030">
        <v>0</v>
      </c>
      <c r="D50" s="1030">
        <v>0</v>
      </c>
      <c r="E50" s="2024">
        <v>0</v>
      </c>
      <c r="F50" s="1031">
        <v>0</v>
      </c>
      <c r="G50" s="1030">
        <v>0</v>
      </c>
      <c r="H50" s="2025">
        <v>0</v>
      </c>
      <c r="I50" s="2026">
        <v>0</v>
      </c>
      <c r="J50" s="1030">
        <v>0</v>
      </c>
      <c r="K50" s="2025">
        <v>0</v>
      </c>
      <c r="L50" s="338"/>
      <c r="Q50" s="247"/>
      <c r="R50" s="248"/>
    </row>
    <row r="51" spans="1:18" ht="11.25" customHeight="1" x14ac:dyDescent="0.25">
      <c r="A51" s="1263" t="s">
        <v>293</v>
      </c>
      <c r="B51" s="902"/>
      <c r="C51" s="1030">
        <v>0</v>
      </c>
      <c r="D51" s="1030">
        <v>0</v>
      </c>
      <c r="E51" s="2024">
        <v>0</v>
      </c>
      <c r="F51" s="1031">
        <v>0</v>
      </c>
      <c r="G51" s="1030">
        <v>0</v>
      </c>
      <c r="H51" s="2025">
        <v>0</v>
      </c>
      <c r="I51" s="2026">
        <v>0</v>
      </c>
      <c r="J51" s="1030">
        <v>0</v>
      </c>
      <c r="K51" s="2025">
        <v>0</v>
      </c>
      <c r="L51" s="338"/>
      <c r="Q51" s="247"/>
      <c r="R51" s="248"/>
    </row>
    <row r="52" spans="1:18" ht="11.25" customHeight="1" x14ac:dyDescent="0.25">
      <c r="A52" s="1015" t="s">
        <v>153</v>
      </c>
      <c r="B52" s="902"/>
      <c r="C52" s="1071">
        <v>19024992.25</v>
      </c>
      <c r="D52" s="1071">
        <v>24064498.265000004</v>
      </c>
      <c r="E52" s="1226">
        <v>17494759.140000001</v>
      </c>
      <c r="F52" s="1075">
        <v>11627447</v>
      </c>
      <c r="G52" s="1071">
        <v>14633803</v>
      </c>
      <c r="H52" s="1227">
        <v>14633803</v>
      </c>
      <c r="I52" s="1228">
        <v>21452058.976840001</v>
      </c>
      <c r="J52" s="1071">
        <v>22739182.515450403</v>
      </c>
      <c r="K52" s="1227">
        <v>24103533.460377432</v>
      </c>
      <c r="L52" s="338"/>
      <c r="Q52" s="247"/>
      <c r="R52" s="248"/>
    </row>
    <row r="53" spans="1:18" ht="11.25" customHeight="1" x14ac:dyDescent="0.25">
      <c r="A53" s="1064" t="s">
        <v>654</v>
      </c>
      <c r="B53" s="902"/>
      <c r="C53" s="911">
        <v>9193265.0700000003</v>
      </c>
      <c r="D53" s="911">
        <v>7805458.0899999989</v>
      </c>
      <c r="E53" s="1229">
        <v>8018973.6399999997</v>
      </c>
      <c r="F53" s="912">
        <v>5315061</v>
      </c>
      <c r="G53" s="911">
        <v>6924255</v>
      </c>
      <c r="H53" s="1230">
        <v>6924255</v>
      </c>
      <c r="I53" s="1231">
        <v>10206003.952679999</v>
      </c>
      <c r="J53" s="911">
        <v>10818364.189840801</v>
      </c>
      <c r="K53" s="1230">
        <v>11467466.037231252</v>
      </c>
      <c r="L53" s="338"/>
      <c r="Q53" s="247"/>
      <c r="R53" s="248"/>
    </row>
    <row r="54" spans="1:18" ht="11.25" customHeight="1" x14ac:dyDescent="0.25">
      <c r="A54" s="1263" t="s">
        <v>741</v>
      </c>
      <c r="B54" s="902"/>
      <c r="C54" s="1030">
        <v>9193265.0700000003</v>
      </c>
      <c r="D54" s="1030">
        <v>7805458.0899999989</v>
      </c>
      <c r="E54" s="2024">
        <v>8018973.6399999997</v>
      </c>
      <c r="F54" s="1031">
        <v>5315061</v>
      </c>
      <c r="G54" s="1030">
        <v>6924255</v>
      </c>
      <c r="H54" s="2025">
        <v>6924255</v>
      </c>
      <c r="I54" s="2026">
        <v>10206003.952679999</v>
      </c>
      <c r="J54" s="1030">
        <v>10818364.189840801</v>
      </c>
      <c r="K54" s="2025">
        <v>11467466.037231252</v>
      </c>
      <c r="L54" s="338"/>
      <c r="Q54" s="247"/>
      <c r="R54" s="248"/>
    </row>
    <row r="55" spans="1:18" ht="11.25" customHeight="1" x14ac:dyDescent="0.25">
      <c r="A55" s="1263" t="s">
        <v>94</v>
      </c>
      <c r="B55" s="902"/>
      <c r="C55" s="1030">
        <v>0</v>
      </c>
      <c r="D55" s="1030">
        <v>0</v>
      </c>
      <c r="E55" s="2024">
        <v>0</v>
      </c>
      <c r="F55" s="1031">
        <v>0</v>
      </c>
      <c r="G55" s="1030">
        <v>0</v>
      </c>
      <c r="H55" s="2025">
        <v>0</v>
      </c>
      <c r="I55" s="2026">
        <v>0</v>
      </c>
      <c r="J55" s="1030">
        <v>0</v>
      </c>
      <c r="K55" s="2025">
        <v>0</v>
      </c>
      <c r="L55" s="338"/>
      <c r="Q55" s="247"/>
      <c r="R55" s="248"/>
    </row>
    <row r="56" spans="1:18" ht="11.25" customHeight="1" x14ac:dyDescent="0.25">
      <c r="A56" s="1064" t="s">
        <v>958</v>
      </c>
      <c r="B56" s="902"/>
      <c r="C56" s="911">
        <v>5453948.8199999994</v>
      </c>
      <c r="D56" s="911">
        <v>12280215.235000003</v>
      </c>
      <c r="E56" s="1229">
        <v>4036733.3700000006</v>
      </c>
      <c r="F56" s="912">
        <v>2116520</v>
      </c>
      <c r="G56" s="911">
        <v>3485084</v>
      </c>
      <c r="H56" s="1230">
        <v>3485084</v>
      </c>
      <c r="I56" s="1231">
        <v>3458423</v>
      </c>
      <c r="J56" s="911">
        <v>3665928.38</v>
      </c>
      <c r="K56" s="1230">
        <v>3885884.0828</v>
      </c>
      <c r="L56" s="338"/>
      <c r="Q56" s="247"/>
      <c r="R56" s="248"/>
    </row>
    <row r="57" spans="1:18" ht="11.25" customHeight="1" x14ac:dyDescent="0.25">
      <c r="A57" s="1263" t="s">
        <v>739</v>
      </c>
      <c r="B57" s="902"/>
      <c r="C57" s="1030">
        <v>5453948.8199999994</v>
      </c>
      <c r="D57" s="1030">
        <v>12280215.235000003</v>
      </c>
      <c r="E57" s="2024">
        <v>4036733.3700000006</v>
      </c>
      <c r="F57" s="1031">
        <v>2116520</v>
      </c>
      <c r="G57" s="1030">
        <v>3485084</v>
      </c>
      <c r="H57" s="2025">
        <v>3485084</v>
      </c>
      <c r="I57" s="2026">
        <v>3458423</v>
      </c>
      <c r="J57" s="1030">
        <v>3665928.38</v>
      </c>
      <c r="K57" s="2025">
        <v>3885884.0828</v>
      </c>
      <c r="L57" s="338"/>
      <c r="Q57" s="247"/>
      <c r="R57" s="248"/>
    </row>
    <row r="58" spans="1:18" ht="11.25" customHeight="1" x14ac:dyDescent="0.25">
      <c r="A58" s="1263" t="s">
        <v>740</v>
      </c>
      <c r="B58" s="902"/>
      <c r="C58" s="1030">
        <v>0</v>
      </c>
      <c r="D58" s="1030">
        <v>0</v>
      </c>
      <c r="E58" s="2024">
        <v>0</v>
      </c>
      <c r="F58" s="1031">
        <v>0</v>
      </c>
      <c r="G58" s="1030">
        <v>0</v>
      </c>
      <c r="H58" s="2025">
        <v>0</v>
      </c>
      <c r="I58" s="2026">
        <v>0</v>
      </c>
      <c r="J58" s="1030">
        <v>0</v>
      </c>
      <c r="K58" s="2025">
        <v>0</v>
      </c>
      <c r="L58" s="338"/>
      <c r="Q58" s="247"/>
      <c r="R58" s="248"/>
    </row>
    <row r="59" spans="1:18" ht="11.25" customHeight="1" x14ac:dyDescent="0.25">
      <c r="A59" s="1064" t="s">
        <v>1136</v>
      </c>
      <c r="B59" s="902"/>
      <c r="C59" s="911">
        <v>2425440.75</v>
      </c>
      <c r="D59" s="911">
        <v>1743265.68</v>
      </c>
      <c r="E59" s="1229">
        <v>3014392.27</v>
      </c>
      <c r="F59" s="912">
        <v>1603001</v>
      </c>
      <c r="G59" s="911">
        <v>1721599</v>
      </c>
      <c r="H59" s="1230">
        <v>1721599</v>
      </c>
      <c r="I59" s="1231">
        <v>4519265.4241599999</v>
      </c>
      <c r="J59" s="911">
        <v>4790421.3496096004</v>
      </c>
      <c r="K59" s="1230">
        <v>5077846.6285861796</v>
      </c>
      <c r="L59" s="338"/>
      <c r="Q59" s="247"/>
      <c r="R59" s="248"/>
    </row>
    <row r="60" spans="1:18" ht="11.25" customHeight="1" x14ac:dyDescent="0.25">
      <c r="A60" s="1263" t="s">
        <v>733</v>
      </c>
      <c r="B60" s="902"/>
      <c r="C60" s="1030">
        <v>2425440.75</v>
      </c>
      <c r="D60" s="1030">
        <v>1743265.68</v>
      </c>
      <c r="E60" s="2024">
        <v>3014392.27</v>
      </c>
      <c r="F60" s="1031">
        <v>1603001</v>
      </c>
      <c r="G60" s="1030">
        <v>1721599</v>
      </c>
      <c r="H60" s="2025">
        <v>1721599</v>
      </c>
      <c r="I60" s="2026">
        <v>4519265.4241599999</v>
      </c>
      <c r="J60" s="1030">
        <v>4790421.3496096004</v>
      </c>
      <c r="K60" s="2025">
        <v>5077846.6285861796</v>
      </c>
      <c r="L60" s="338"/>
      <c r="Q60" s="247"/>
      <c r="R60" s="248"/>
    </row>
    <row r="61" spans="1:18" ht="11.25" customHeight="1" x14ac:dyDescent="0.25">
      <c r="A61" s="1263" t="s">
        <v>734</v>
      </c>
      <c r="B61" s="902"/>
      <c r="C61" s="1030">
        <v>0</v>
      </c>
      <c r="D61" s="1030">
        <v>0</v>
      </c>
      <c r="E61" s="2024">
        <v>0</v>
      </c>
      <c r="F61" s="1031">
        <v>0</v>
      </c>
      <c r="G61" s="1030">
        <v>0</v>
      </c>
      <c r="H61" s="2025">
        <v>0</v>
      </c>
      <c r="I61" s="2026">
        <v>0</v>
      </c>
      <c r="J61" s="1030">
        <v>0</v>
      </c>
      <c r="K61" s="2025">
        <v>0</v>
      </c>
      <c r="L61" s="338"/>
      <c r="Q61" s="247"/>
      <c r="R61" s="248"/>
    </row>
    <row r="62" spans="1:18" ht="11.25" customHeight="1" x14ac:dyDescent="0.25">
      <c r="A62" s="1263" t="s">
        <v>735</v>
      </c>
      <c r="B62" s="902"/>
      <c r="C62" s="1030">
        <v>0</v>
      </c>
      <c r="D62" s="1030">
        <v>0</v>
      </c>
      <c r="E62" s="2024">
        <v>0</v>
      </c>
      <c r="F62" s="1031">
        <v>0</v>
      </c>
      <c r="G62" s="1030">
        <v>0</v>
      </c>
      <c r="H62" s="2025">
        <v>0</v>
      </c>
      <c r="I62" s="2026">
        <v>0</v>
      </c>
      <c r="J62" s="1030">
        <v>0</v>
      </c>
      <c r="K62" s="2025">
        <v>0</v>
      </c>
      <c r="L62" s="338"/>
      <c r="Q62" s="247"/>
      <c r="R62" s="248"/>
    </row>
    <row r="63" spans="1:18" ht="11.25" customHeight="1" x14ac:dyDescent="0.25">
      <c r="A63" s="1064" t="s">
        <v>1137</v>
      </c>
      <c r="B63" s="902"/>
      <c r="C63" s="911">
        <v>1952337.61</v>
      </c>
      <c r="D63" s="911">
        <v>2235559.2600000002</v>
      </c>
      <c r="E63" s="1229">
        <v>2424659.86</v>
      </c>
      <c r="F63" s="912">
        <v>2592865</v>
      </c>
      <c r="G63" s="911">
        <v>2502865</v>
      </c>
      <c r="H63" s="1230">
        <v>2502865</v>
      </c>
      <c r="I63" s="1231">
        <v>3268366.6</v>
      </c>
      <c r="J63" s="911">
        <v>3464468.5959999999</v>
      </c>
      <c r="K63" s="1230">
        <v>3672336.7117599999</v>
      </c>
      <c r="L63" s="338"/>
      <c r="Q63" s="247"/>
      <c r="R63" s="248"/>
    </row>
    <row r="64" spans="1:18" ht="11.25" customHeight="1" x14ac:dyDescent="0.25">
      <c r="A64" s="1263" t="s">
        <v>732</v>
      </c>
      <c r="B64" s="902"/>
      <c r="C64" s="1030">
        <v>1952337.61</v>
      </c>
      <c r="D64" s="1030">
        <v>2235559.2600000002</v>
      </c>
      <c r="E64" s="2024">
        <v>2424659.86</v>
      </c>
      <c r="F64" s="1031">
        <v>2592865</v>
      </c>
      <c r="G64" s="1030">
        <v>2502865</v>
      </c>
      <c r="H64" s="2025">
        <v>2502865</v>
      </c>
      <c r="I64" s="2026">
        <v>3268366.6</v>
      </c>
      <c r="J64" s="1030">
        <v>3464468.5959999999</v>
      </c>
      <c r="K64" s="2025">
        <v>3672336.7117599999</v>
      </c>
      <c r="L64" s="338"/>
      <c r="Q64" s="247"/>
      <c r="R64" s="248"/>
    </row>
    <row r="65" spans="1:18" ht="11.25" customHeight="1" x14ac:dyDescent="0.25">
      <c r="A65" s="1015" t="s">
        <v>293</v>
      </c>
      <c r="B65" s="902"/>
      <c r="C65" s="1071">
        <v>32903.160000000003</v>
      </c>
      <c r="D65" s="1071">
        <v>25790.38</v>
      </c>
      <c r="E65" s="1226">
        <v>27477.599999999999</v>
      </c>
      <c r="F65" s="1075">
        <v>0</v>
      </c>
      <c r="G65" s="1071">
        <v>162000</v>
      </c>
      <c r="H65" s="1227">
        <v>162000</v>
      </c>
      <c r="I65" s="1228">
        <v>330000</v>
      </c>
      <c r="J65" s="1071">
        <v>349800</v>
      </c>
      <c r="K65" s="1227">
        <v>370788</v>
      </c>
      <c r="L65" s="338"/>
      <c r="Q65" s="247"/>
      <c r="R65" s="248"/>
    </row>
    <row r="66" spans="1:18" ht="11.25" customHeight="1" x14ac:dyDescent="0.25">
      <c r="A66" s="1064" t="s">
        <v>95</v>
      </c>
      <c r="B66" s="902"/>
      <c r="C66" s="1030">
        <v>8800</v>
      </c>
      <c r="D66" s="1030">
        <v>0</v>
      </c>
      <c r="E66" s="2024">
        <v>0</v>
      </c>
      <c r="F66" s="1031">
        <v>0</v>
      </c>
      <c r="G66" s="1030">
        <v>128000</v>
      </c>
      <c r="H66" s="2025">
        <v>128000</v>
      </c>
      <c r="I66" s="2026">
        <v>130000</v>
      </c>
      <c r="J66" s="1030">
        <v>137800</v>
      </c>
      <c r="K66" s="2025">
        <v>146068</v>
      </c>
      <c r="L66" s="338"/>
      <c r="Q66" s="247"/>
      <c r="R66" s="248"/>
    </row>
    <row r="67" spans="1:18" ht="11.25" customHeight="1" x14ac:dyDescent="0.25">
      <c r="A67" s="1064" t="s">
        <v>1250</v>
      </c>
      <c r="B67" s="902"/>
      <c r="C67" s="1030">
        <v>24103.16</v>
      </c>
      <c r="D67" s="1030">
        <v>25790.38</v>
      </c>
      <c r="E67" s="2024">
        <v>27477.599999999999</v>
      </c>
      <c r="F67" s="1031">
        <v>0</v>
      </c>
      <c r="G67" s="1030">
        <v>34000</v>
      </c>
      <c r="H67" s="2025">
        <v>34000</v>
      </c>
      <c r="I67" s="2026">
        <v>200000</v>
      </c>
      <c r="J67" s="1030">
        <v>212000</v>
      </c>
      <c r="K67" s="2025">
        <v>224720</v>
      </c>
      <c r="L67" s="338"/>
      <c r="Q67" s="247"/>
      <c r="R67" s="248"/>
    </row>
    <row r="68" spans="1:18" ht="11.25" customHeight="1" x14ac:dyDescent="0.25">
      <c r="A68" s="1064" t="s">
        <v>630</v>
      </c>
      <c r="B68" s="902"/>
      <c r="C68" s="1030">
        <v>0</v>
      </c>
      <c r="D68" s="1030">
        <v>0</v>
      </c>
      <c r="E68" s="2024">
        <v>0</v>
      </c>
      <c r="F68" s="1031">
        <v>0</v>
      </c>
      <c r="G68" s="1030">
        <v>0</v>
      </c>
      <c r="H68" s="2025">
        <v>0</v>
      </c>
      <c r="I68" s="2026">
        <v>0</v>
      </c>
      <c r="J68" s="1030">
        <v>0</v>
      </c>
      <c r="K68" s="2025">
        <v>0</v>
      </c>
      <c r="L68" s="338"/>
      <c r="Q68" s="247"/>
      <c r="R68" s="248"/>
    </row>
    <row r="69" spans="1:18" ht="11.25" customHeight="1" x14ac:dyDescent="0.25">
      <c r="A69" s="1064" t="s">
        <v>96</v>
      </c>
      <c r="B69" s="902"/>
      <c r="C69" s="1030">
        <v>0</v>
      </c>
      <c r="D69" s="1030">
        <v>0</v>
      </c>
      <c r="E69" s="2024">
        <v>0</v>
      </c>
      <c r="F69" s="1031">
        <v>0</v>
      </c>
      <c r="G69" s="1030">
        <v>0</v>
      </c>
      <c r="H69" s="2025">
        <v>0</v>
      </c>
      <c r="I69" s="2026">
        <v>0</v>
      </c>
      <c r="J69" s="1030">
        <v>0</v>
      </c>
      <c r="K69" s="2025">
        <v>0</v>
      </c>
      <c r="L69" s="338"/>
      <c r="Q69" s="247"/>
      <c r="R69" s="248"/>
    </row>
    <row r="70" spans="1:18" ht="11.25" customHeight="1" x14ac:dyDescent="0.25">
      <c r="A70" s="1064" t="s">
        <v>1251</v>
      </c>
      <c r="B70" s="902"/>
      <c r="C70" s="1030">
        <v>0</v>
      </c>
      <c r="D70" s="1030">
        <v>0</v>
      </c>
      <c r="E70" s="2024">
        <v>0</v>
      </c>
      <c r="F70" s="1031">
        <v>0</v>
      </c>
      <c r="G70" s="1030">
        <v>0</v>
      </c>
      <c r="H70" s="2025">
        <v>0</v>
      </c>
      <c r="I70" s="2026">
        <v>0</v>
      </c>
      <c r="J70" s="1030">
        <v>0</v>
      </c>
      <c r="K70" s="2025">
        <v>0</v>
      </c>
      <c r="L70" s="338"/>
      <c r="Q70" s="247"/>
      <c r="R70" s="248"/>
    </row>
    <row r="71" spans="1:18" ht="11.25" customHeight="1" x14ac:dyDescent="0.25">
      <c r="A71" s="1965" t="s">
        <v>2486</v>
      </c>
      <c r="B71" s="902">
        <v>2</v>
      </c>
      <c r="C71" s="259">
        <v>69670135.961141288</v>
      </c>
      <c r="D71" s="259">
        <v>62851420.262112953</v>
      </c>
      <c r="E71" s="1236">
        <v>60870161.047871962</v>
      </c>
      <c r="F71" s="262">
        <v>54155345.829999998</v>
      </c>
      <c r="G71" s="259">
        <v>67372591</v>
      </c>
      <c r="H71" s="1237">
        <v>67372591</v>
      </c>
      <c r="I71" s="1238">
        <v>82706920.062484264</v>
      </c>
      <c r="J71" s="259">
        <v>88214435.266233325</v>
      </c>
      <c r="K71" s="1237">
        <v>93775241.376207322</v>
      </c>
      <c r="L71" s="338"/>
      <c r="Q71" s="263"/>
      <c r="R71" s="264"/>
    </row>
    <row r="72" spans="1:18" ht="5.0999999999999996" customHeight="1" x14ac:dyDescent="0.25">
      <c r="A72" s="1938"/>
      <c r="B72" s="902"/>
      <c r="C72" s="205"/>
      <c r="D72" s="205"/>
      <c r="E72" s="256"/>
      <c r="F72" s="246"/>
      <c r="G72" s="205"/>
      <c r="H72" s="208"/>
      <c r="I72" s="209"/>
      <c r="J72" s="205"/>
      <c r="K72" s="256"/>
      <c r="L72" s="338"/>
      <c r="Q72" s="240"/>
    </row>
    <row r="73" spans="1:18" ht="11.25" customHeight="1" x14ac:dyDescent="0.25">
      <c r="A73" s="2037" t="s">
        <v>433</v>
      </c>
      <c r="B73" s="2038"/>
      <c r="C73" s="205"/>
      <c r="D73" s="205"/>
      <c r="E73" s="256"/>
      <c r="F73" s="246"/>
      <c r="G73" s="205"/>
      <c r="H73" s="208"/>
      <c r="I73" s="209"/>
      <c r="J73" s="205"/>
      <c r="K73" s="256"/>
      <c r="L73" s="338"/>
      <c r="Q73" s="240"/>
    </row>
    <row r="74" spans="1:18" ht="11.25" customHeight="1" x14ac:dyDescent="0.25">
      <c r="A74" s="1015" t="s">
        <v>141</v>
      </c>
      <c r="B74" s="2038"/>
      <c r="C74" s="1071">
        <v>27139449.857982762</v>
      </c>
      <c r="D74" s="1071">
        <v>19567103.101436108</v>
      </c>
      <c r="E74" s="1226">
        <v>17080466.580000002</v>
      </c>
      <c r="F74" s="1075">
        <v>30255476.628182437</v>
      </c>
      <c r="G74" s="1071">
        <v>35921215.142857142</v>
      </c>
      <c r="H74" s="1227">
        <v>35921215.142857142</v>
      </c>
      <c r="I74" s="1228">
        <v>29159580.910258397</v>
      </c>
      <c r="J74" s="1071">
        <v>28586155.7648739</v>
      </c>
      <c r="K74" s="1227">
        <v>30417725.110766336</v>
      </c>
      <c r="L74" s="338"/>
      <c r="Q74" s="240"/>
    </row>
    <row r="75" spans="1:18" ht="11.25" customHeight="1" x14ac:dyDescent="0.25">
      <c r="A75" s="1064" t="s">
        <v>142</v>
      </c>
      <c r="B75" s="2038"/>
      <c r="C75" s="884">
        <v>2751651.0900000003</v>
      </c>
      <c r="D75" s="884">
        <v>3654216.5514259492</v>
      </c>
      <c r="E75" s="1144">
        <v>3627598.6699999995</v>
      </c>
      <c r="F75" s="885">
        <v>0</v>
      </c>
      <c r="G75" s="884">
        <v>4256795</v>
      </c>
      <c r="H75" s="920">
        <v>4256795</v>
      </c>
      <c r="I75" s="1145">
        <v>6303657.881972</v>
      </c>
      <c r="J75" s="884">
        <v>4561877.3548903205</v>
      </c>
      <c r="K75" s="920">
        <v>4835589.99618374</v>
      </c>
      <c r="L75" s="338"/>
      <c r="Q75" s="240"/>
    </row>
    <row r="76" spans="1:18" ht="11.25" customHeight="1" x14ac:dyDescent="0.25">
      <c r="A76" s="1263" t="s">
        <v>335</v>
      </c>
      <c r="B76" s="2038"/>
      <c r="C76" s="1030">
        <v>2751651.0900000003</v>
      </c>
      <c r="D76" s="1030">
        <v>3654216.5514259492</v>
      </c>
      <c r="E76" s="2024">
        <v>3627598.6699999995</v>
      </c>
      <c r="F76" s="1031">
        <v>0</v>
      </c>
      <c r="G76" s="1030">
        <v>4256795</v>
      </c>
      <c r="H76" s="2025">
        <v>4256795</v>
      </c>
      <c r="I76" s="2026">
        <v>6303657.881972</v>
      </c>
      <c r="J76" s="1030">
        <v>4561877.3548903205</v>
      </c>
      <c r="K76" s="2025">
        <v>4835589.99618374</v>
      </c>
      <c r="L76" s="338"/>
      <c r="Q76" s="240"/>
    </row>
    <row r="77" spans="1:18" ht="11.25" customHeight="1" x14ac:dyDescent="0.25">
      <c r="A77" s="1263" t="s">
        <v>336</v>
      </c>
      <c r="B77" s="2038"/>
      <c r="C77" s="1030">
        <v>0</v>
      </c>
      <c r="D77" s="1030">
        <v>0</v>
      </c>
      <c r="E77" s="2024">
        <v>0</v>
      </c>
      <c r="F77" s="1031">
        <v>0</v>
      </c>
      <c r="G77" s="1030">
        <v>0</v>
      </c>
      <c r="H77" s="2025">
        <v>0</v>
      </c>
      <c r="I77" s="2026">
        <v>0</v>
      </c>
      <c r="J77" s="1030">
        <v>0</v>
      </c>
      <c r="K77" s="2025">
        <v>0</v>
      </c>
      <c r="L77" s="338"/>
      <c r="Q77" s="240"/>
    </row>
    <row r="78" spans="1:18" ht="11.25" customHeight="1" x14ac:dyDescent="0.25">
      <c r="A78" s="1064" t="s">
        <v>143</v>
      </c>
      <c r="B78" s="2038"/>
      <c r="C78" s="2027">
        <v>21993066.730008643</v>
      </c>
      <c r="D78" s="2027">
        <v>13694688.37370215</v>
      </c>
      <c r="E78" s="2028">
        <v>10447845.640000002</v>
      </c>
      <c r="F78" s="2029">
        <v>29266935.165549092</v>
      </c>
      <c r="G78" s="2027">
        <v>21795826.142857142</v>
      </c>
      <c r="H78" s="2030">
        <v>21795826.142857142</v>
      </c>
      <c r="I78" s="2031">
        <v>16354474.257052317</v>
      </c>
      <c r="J78" s="2027">
        <v>17132742.712475456</v>
      </c>
      <c r="K78" s="2030">
        <v>18277107.275223982</v>
      </c>
      <c r="L78" s="338"/>
      <c r="Q78" s="240"/>
    </row>
    <row r="79" spans="1:18" ht="11.25" customHeight="1" x14ac:dyDescent="0.25">
      <c r="A79" s="1064" t="s">
        <v>144</v>
      </c>
      <c r="B79" s="2038"/>
      <c r="C79" s="884">
        <v>2394732.0379741192</v>
      </c>
      <c r="D79" s="884">
        <v>2218198.1763080102</v>
      </c>
      <c r="E79" s="1144">
        <v>3005022.2699999996</v>
      </c>
      <c r="F79" s="885">
        <v>988541.462633344</v>
      </c>
      <c r="G79" s="884">
        <v>9868594</v>
      </c>
      <c r="H79" s="920">
        <v>9868594</v>
      </c>
      <c r="I79" s="1145">
        <v>6501448.7712340793</v>
      </c>
      <c r="J79" s="884">
        <v>6891535.6975081246</v>
      </c>
      <c r="K79" s="920">
        <v>7305027.8393586148</v>
      </c>
      <c r="L79" s="338"/>
      <c r="Q79" s="240"/>
    </row>
    <row r="80" spans="1:18" ht="11.25" customHeight="1" x14ac:dyDescent="0.25">
      <c r="A80" s="1263" t="s">
        <v>337</v>
      </c>
      <c r="B80" s="2038"/>
      <c r="C80" s="1030">
        <v>0</v>
      </c>
      <c r="D80" s="1030">
        <v>0</v>
      </c>
      <c r="E80" s="2024">
        <v>0</v>
      </c>
      <c r="F80" s="1031">
        <v>0</v>
      </c>
      <c r="G80" s="1030">
        <v>0</v>
      </c>
      <c r="H80" s="2025">
        <v>0</v>
      </c>
      <c r="I80" s="2026">
        <v>0</v>
      </c>
      <c r="J80" s="1030">
        <v>0</v>
      </c>
      <c r="K80" s="2025">
        <v>0</v>
      </c>
      <c r="L80" s="338"/>
      <c r="Q80" s="240"/>
    </row>
    <row r="81" spans="1:17" ht="11.25" customHeight="1" x14ac:dyDescent="0.25">
      <c r="A81" s="1263" t="s">
        <v>338</v>
      </c>
      <c r="B81" s="2038"/>
      <c r="C81" s="1030">
        <v>0</v>
      </c>
      <c r="D81" s="1030">
        <v>0</v>
      </c>
      <c r="E81" s="2024">
        <v>0</v>
      </c>
      <c r="F81" s="1031">
        <v>0</v>
      </c>
      <c r="G81" s="1030">
        <v>0</v>
      </c>
      <c r="H81" s="2025">
        <v>0</v>
      </c>
      <c r="I81" s="2026">
        <v>0</v>
      </c>
      <c r="J81" s="1030">
        <v>0</v>
      </c>
      <c r="K81" s="2025">
        <v>0</v>
      </c>
      <c r="L81" s="338"/>
      <c r="Q81" s="240"/>
    </row>
    <row r="82" spans="1:17" ht="11.25" customHeight="1" x14ac:dyDescent="0.25">
      <c r="A82" s="1263" t="s">
        <v>1067</v>
      </c>
      <c r="B82" s="2038"/>
      <c r="C82" s="1030">
        <v>628825.29</v>
      </c>
      <c r="D82" s="1030">
        <v>204296.94</v>
      </c>
      <c r="E82" s="2024">
        <v>189153.21</v>
      </c>
      <c r="F82" s="1031">
        <v>988541.462633344</v>
      </c>
      <c r="G82" s="1030">
        <v>958538</v>
      </c>
      <c r="H82" s="2025">
        <v>958538</v>
      </c>
      <c r="I82" s="2026">
        <v>973999.14042208006</v>
      </c>
      <c r="J82" s="1030">
        <v>1032439.0888474047</v>
      </c>
      <c r="K82" s="2025">
        <v>1094385.4341782494</v>
      </c>
      <c r="L82" s="338"/>
      <c r="Q82" s="240"/>
    </row>
    <row r="83" spans="1:17" ht="11.25" customHeight="1" x14ac:dyDescent="0.25">
      <c r="A83" s="1263" t="s">
        <v>1068</v>
      </c>
      <c r="B83" s="2038"/>
      <c r="C83" s="1030">
        <v>1765906.7479741189</v>
      </c>
      <c r="D83" s="1030">
        <v>2013901.2363080103</v>
      </c>
      <c r="E83" s="2024">
        <v>2815869.0599999996</v>
      </c>
      <c r="F83" s="1031">
        <v>0</v>
      </c>
      <c r="G83" s="1030">
        <v>8910056</v>
      </c>
      <c r="H83" s="2025">
        <v>8910056</v>
      </c>
      <c r="I83" s="2026">
        <v>5527449.6308119996</v>
      </c>
      <c r="J83" s="1030">
        <v>5859096.6086607203</v>
      </c>
      <c r="K83" s="2025">
        <v>6210642.4051803648</v>
      </c>
      <c r="L83" s="338"/>
      <c r="Q83" s="240"/>
    </row>
    <row r="84" spans="1:17" ht="11.25" customHeight="1" x14ac:dyDescent="0.25">
      <c r="A84" s="1015" t="s">
        <v>145</v>
      </c>
      <c r="B84" s="2038"/>
      <c r="C84" s="1071">
        <v>1481674.93</v>
      </c>
      <c r="D84" s="1071">
        <v>825505.89000000013</v>
      </c>
      <c r="E84" s="1226">
        <v>998836.64</v>
      </c>
      <c r="F84" s="1075">
        <v>1694922.842094752</v>
      </c>
      <c r="G84" s="1071">
        <v>2088934.1428571427</v>
      </c>
      <c r="H84" s="1227">
        <v>2088934.1428571427</v>
      </c>
      <c r="I84" s="1228">
        <v>2708946.0006060004</v>
      </c>
      <c r="J84" s="1071">
        <v>2871482.76064236</v>
      </c>
      <c r="K84" s="1227">
        <v>3043771.7262809016</v>
      </c>
      <c r="L84" s="338"/>
      <c r="Q84" s="240"/>
    </row>
    <row r="85" spans="1:17" ht="11.25" customHeight="1" x14ac:dyDescent="0.25">
      <c r="A85" s="1064" t="s">
        <v>146</v>
      </c>
      <c r="B85" s="2038"/>
      <c r="C85" s="911">
        <v>834483.32</v>
      </c>
      <c r="D85" s="911">
        <v>638316.1100000001</v>
      </c>
      <c r="E85" s="1229">
        <v>685452.02</v>
      </c>
      <c r="F85" s="912">
        <v>1694922.842094752</v>
      </c>
      <c r="G85" s="911">
        <v>1682234.1428571427</v>
      </c>
      <c r="H85" s="1230">
        <v>1682234.1428571427</v>
      </c>
      <c r="I85" s="1231">
        <v>2224836.0006060004</v>
      </c>
      <c r="J85" s="911">
        <v>2358326.1606423599</v>
      </c>
      <c r="K85" s="1230">
        <v>2499825.7302809018</v>
      </c>
      <c r="L85" s="338"/>
      <c r="Q85" s="240"/>
    </row>
    <row r="86" spans="1:17" ht="11.25" customHeight="1" x14ac:dyDescent="0.25">
      <c r="A86" s="1263" t="s">
        <v>1659</v>
      </c>
      <c r="B86" s="2038"/>
      <c r="C86" s="1030">
        <v>833414.22</v>
      </c>
      <c r="D86" s="1030">
        <v>638316.1100000001</v>
      </c>
      <c r="E86" s="2024">
        <v>684246.91</v>
      </c>
      <c r="F86" s="1031">
        <v>1539572.842094752</v>
      </c>
      <c r="G86" s="1030">
        <v>1562234.1428571427</v>
      </c>
      <c r="H86" s="2025">
        <v>1562234.1428571427</v>
      </c>
      <c r="I86" s="2026">
        <v>2104836.0006060004</v>
      </c>
      <c r="J86" s="1030">
        <v>2231126.1606423599</v>
      </c>
      <c r="K86" s="2025">
        <v>2364993.7302809018</v>
      </c>
      <c r="L86" s="338"/>
      <c r="Q86" s="240"/>
    </row>
    <row r="87" spans="1:17" ht="11.25" customHeight="1" x14ac:dyDescent="0.25">
      <c r="A87" s="1263" t="s">
        <v>815</v>
      </c>
      <c r="B87" s="2038"/>
      <c r="C87" s="1030">
        <v>0</v>
      </c>
      <c r="D87" s="1030">
        <v>0</v>
      </c>
      <c r="E87" s="2024">
        <v>0</v>
      </c>
      <c r="F87" s="1031">
        <v>0</v>
      </c>
      <c r="G87" s="1030">
        <v>0</v>
      </c>
      <c r="H87" s="2025">
        <v>0</v>
      </c>
      <c r="I87" s="2026">
        <v>0</v>
      </c>
      <c r="J87" s="1030">
        <v>0</v>
      </c>
      <c r="K87" s="2025">
        <v>0</v>
      </c>
      <c r="L87" s="338"/>
      <c r="Q87" s="240"/>
    </row>
    <row r="88" spans="1:17" ht="11.25" customHeight="1" x14ac:dyDescent="0.25">
      <c r="A88" s="1263" t="s">
        <v>816</v>
      </c>
      <c r="B88" s="2038"/>
      <c r="C88" s="1030">
        <v>0</v>
      </c>
      <c r="D88" s="1030">
        <v>0</v>
      </c>
      <c r="E88" s="2024">
        <v>0</v>
      </c>
      <c r="F88" s="1031">
        <v>0</v>
      </c>
      <c r="G88" s="1030">
        <v>0</v>
      </c>
      <c r="H88" s="2025">
        <v>0</v>
      </c>
      <c r="I88" s="2026">
        <v>0</v>
      </c>
      <c r="J88" s="1030">
        <v>0</v>
      </c>
      <c r="K88" s="2025">
        <v>0</v>
      </c>
      <c r="L88" s="338"/>
      <c r="Q88" s="240"/>
    </row>
    <row r="89" spans="1:17" ht="11.25" customHeight="1" x14ac:dyDescent="0.25">
      <c r="A89" s="1263" t="s">
        <v>817</v>
      </c>
      <c r="B89" s="2038"/>
      <c r="C89" s="1030">
        <v>1069.0999999999999</v>
      </c>
      <c r="D89" s="1030">
        <v>0</v>
      </c>
      <c r="E89" s="2024">
        <v>1205.1099999999999</v>
      </c>
      <c r="F89" s="1031">
        <v>120000</v>
      </c>
      <c r="G89" s="1030">
        <v>120000</v>
      </c>
      <c r="H89" s="2025">
        <v>120000</v>
      </c>
      <c r="I89" s="2026">
        <v>120000</v>
      </c>
      <c r="J89" s="1030">
        <v>127200</v>
      </c>
      <c r="K89" s="2025">
        <v>134832</v>
      </c>
      <c r="L89" s="338"/>
      <c r="Q89" s="240"/>
    </row>
    <row r="90" spans="1:17" ht="11.25" customHeight="1" x14ac:dyDescent="0.25">
      <c r="A90" s="1263" t="s">
        <v>1660</v>
      </c>
      <c r="B90" s="2038"/>
      <c r="C90" s="1030">
        <v>0</v>
      </c>
      <c r="D90" s="1030">
        <v>0</v>
      </c>
      <c r="E90" s="2024">
        <v>0</v>
      </c>
      <c r="F90" s="1031">
        <v>0</v>
      </c>
      <c r="G90" s="1030">
        <v>0</v>
      </c>
      <c r="H90" s="2025">
        <v>0</v>
      </c>
      <c r="I90" s="2026">
        <v>0</v>
      </c>
      <c r="J90" s="1030">
        <v>0</v>
      </c>
      <c r="K90" s="2025">
        <v>0</v>
      </c>
      <c r="L90" s="338"/>
      <c r="Q90" s="240"/>
    </row>
    <row r="91" spans="1:17" ht="11.25" customHeight="1" x14ac:dyDescent="0.25">
      <c r="A91" s="1263" t="s">
        <v>1661</v>
      </c>
      <c r="B91" s="2038"/>
      <c r="C91" s="1030">
        <v>0</v>
      </c>
      <c r="D91" s="1030">
        <v>0</v>
      </c>
      <c r="E91" s="2024">
        <v>0</v>
      </c>
      <c r="F91" s="1031">
        <v>0</v>
      </c>
      <c r="G91" s="1030">
        <v>0</v>
      </c>
      <c r="H91" s="2025">
        <v>0</v>
      </c>
      <c r="I91" s="2026">
        <v>0</v>
      </c>
      <c r="J91" s="1030">
        <v>0</v>
      </c>
      <c r="K91" s="2025">
        <v>0</v>
      </c>
      <c r="L91" s="338"/>
      <c r="Q91" s="240"/>
    </row>
    <row r="92" spans="1:17" ht="11.25" customHeight="1" x14ac:dyDescent="0.25">
      <c r="A92" s="1263" t="s">
        <v>1662</v>
      </c>
      <c r="B92" s="2038"/>
      <c r="C92" s="1030">
        <v>0</v>
      </c>
      <c r="D92" s="1030">
        <v>0</v>
      </c>
      <c r="E92" s="2024">
        <v>0</v>
      </c>
      <c r="F92" s="1031">
        <v>35350</v>
      </c>
      <c r="G92" s="1030">
        <v>0</v>
      </c>
      <c r="H92" s="2025">
        <v>0</v>
      </c>
      <c r="I92" s="2026">
        <v>0</v>
      </c>
      <c r="J92" s="1030">
        <v>0</v>
      </c>
      <c r="K92" s="2025">
        <v>0</v>
      </c>
      <c r="L92" s="338"/>
      <c r="Q92" s="240"/>
    </row>
    <row r="93" spans="1:17" ht="11.25" customHeight="1" x14ac:dyDescent="0.25">
      <c r="A93" s="1263" t="s">
        <v>1663</v>
      </c>
      <c r="B93" s="2038"/>
      <c r="C93" s="1030">
        <v>0</v>
      </c>
      <c r="D93" s="1030">
        <v>0</v>
      </c>
      <c r="E93" s="2024">
        <v>0</v>
      </c>
      <c r="F93" s="1031">
        <v>0</v>
      </c>
      <c r="G93" s="1030">
        <v>0</v>
      </c>
      <c r="H93" s="2025">
        <v>0</v>
      </c>
      <c r="I93" s="2026">
        <v>0</v>
      </c>
      <c r="J93" s="1030">
        <v>0</v>
      </c>
      <c r="K93" s="2025">
        <v>0</v>
      </c>
      <c r="L93" s="338"/>
      <c r="Q93" s="240"/>
    </row>
    <row r="94" spans="1:17" ht="11.25" customHeight="1" x14ac:dyDescent="0.25">
      <c r="A94" s="1064" t="s">
        <v>147</v>
      </c>
      <c r="B94" s="2038"/>
      <c r="C94" s="1030">
        <v>478718.32</v>
      </c>
      <c r="D94" s="1030">
        <v>23738.29</v>
      </c>
      <c r="E94" s="2024">
        <v>848.42</v>
      </c>
      <c r="F94" s="1031">
        <v>0</v>
      </c>
      <c r="G94" s="1030">
        <v>120000</v>
      </c>
      <c r="H94" s="2025">
        <v>120000</v>
      </c>
      <c r="I94" s="2026">
        <v>148410</v>
      </c>
      <c r="J94" s="1030">
        <v>157314.6</v>
      </c>
      <c r="K94" s="2025">
        <v>166753.476</v>
      </c>
      <c r="L94" s="338"/>
      <c r="Q94" s="240"/>
    </row>
    <row r="95" spans="1:17" ht="11.25" customHeight="1" x14ac:dyDescent="0.25">
      <c r="A95" s="1064" t="s">
        <v>148</v>
      </c>
      <c r="B95" s="2038"/>
      <c r="C95" s="911">
        <v>28629.749999999996</v>
      </c>
      <c r="D95" s="911">
        <v>14895.75</v>
      </c>
      <c r="E95" s="1229">
        <v>163234.58000000002</v>
      </c>
      <c r="F95" s="912">
        <v>0</v>
      </c>
      <c r="G95" s="911">
        <v>186400</v>
      </c>
      <c r="H95" s="1230">
        <v>186400</v>
      </c>
      <c r="I95" s="1231">
        <v>335700</v>
      </c>
      <c r="J95" s="911">
        <v>355842</v>
      </c>
      <c r="K95" s="1230">
        <v>377192.52</v>
      </c>
      <c r="L95" s="338"/>
      <c r="Q95" s="240"/>
    </row>
    <row r="96" spans="1:17" ht="11.25" customHeight="1" x14ac:dyDescent="0.25">
      <c r="A96" s="1263" t="s">
        <v>1664</v>
      </c>
      <c r="B96" s="2038"/>
      <c r="C96" s="1030">
        <v>0</v>
      </c>
      <c r="D96" s="1030">
        <v>0</v>
      </c>
      <c r="E96" s="2024">
        <v>0</v>
      </c>
      <c r="F96" s="1031">
        <v>0</v>
      </c>
      <c r="G96" s="1030">
        <v>0</v>
      </c>
      <c r="H96" s="2025">
        <v>0</v>
      </c>
      <c r="I96" s="2026">
        <v>0</v>
      </c>
      <c r="J96" s="1030">
        <v>0</v>
      </c>
      <c r="K96" s="2025">
        <v>0</v>
      </c>
      <c r="L96" s="338"/>
      <c r="Q96" s="240"/>
    </row>
    <row r="97" spans="1:17" ht="11.25" customHeight="1" x14ac:dyDescent="0.25">
      <c r="A97" s="1263" t="s">
        <v>1530</v>
      </c>
      <c r="B97" s="2038"/>
      <c r="C97" s="1030">
        <v>28629.749999999996</v>
      </c>
      <c r="D97" s="1030">
        <v>14895.75</v>
      </c>
      <c r="E97" s="2024">
        <v>163234.58000000002</v>
      </c>
      <c r="F97" s="1031">
        <v>0</v>
      </c>
      <c r="G97" s="1030">
        <v>186400</v>
      </c>
      <c r="H97" s="2025">
        <v>186400</v>
      </c>
      <c r="I97" s="2026">
        <v>335700</v>
      </c>
      <c r="J97" s="1030">
        <v>355842</v>
      </c>
      <c r="K97" s="2025">
        <v>377192.52</v>
      </c>
      <c r="L97" s="338"/>
      <c r="Q97" s="240"/>
    </row>
    <row r="98" spans="1:17" ht="11.25" customHeight="1" x14ac:dyDescent="0.25">
      <c r="A98" s="1263" t="s">
        <v>796</v>
      </c>
      <c r="B98" s="2038"/>
      <c r="C98" s="1030">
        <v>0</v>
      </c>
      <c r="D98" s="1030">
        <v>0</v>
      </c>
      <c r="E98" s="2024">
        <v>0</v>
      </c>
      <c r="F98" s="1031">
        <v>0</v>
      </c>
      <c r="G98" s="1030">
        <v>0</v>
      </c>
      <c r="H98" s="2025">
        <v>0</v>
      </c>
      <c r="I98" s="2026">
        <v>0</v>
      </c>
      <c r="J98" s="1030">
        <v>0</v>
      </c>
      <c r="K98" s="2025">
        <v>0</v>
      </c>
      <c r="L98" s="338"/>
      <c r="Q98" s="240"/>
    </row>
    <row r="99" spans="1:17" ht="11.25" customHeight="1" x14ac:dyDescent="0.25">
      <c r="A99" s="1263" t="s">
        <v>137</v>
      </c>
      <c r="B99" s="2038"/>
      <c r="C99" s="1030">
        <v>0</v>
      </c>
      <c r="D99" s="1030">
        <v>0</v>
      </c>
      <c r="E99" s="2024">
        <v>0</v>
      </c>
      <c r="F99" s="1031">
        <v>0</v>
      </c>
      <c r="G99" s="1030">
        <v>0</v>
      </c>
      <c r="H99" s="2025">
        <v>0</v>
      </c>
      <c r="I99" s="2026">
        <v>0</v>
      </c>
      <c r="J99" s="1030">
        <v>0</v>
      </c>
      <c r="K99" s="2025">
        <v>0</v>
      </c>
      <c r="L99" s="338"/>
      <c r="Q99" s="240"/>
    </row>
    <row r="100" spans="1:17" ht="11.25" customHeight="1" x14ac:dyDescent="0.25">
      <c r="A100" s="1263" t="s">
        <v>293</v>
      </c>
      <c r="B100" s="2038"/>
      <c r="C100" s="1030">
        <v>0</v>
      </c>
      <c r="D100" s="1030">
        <v>0</v>
      </c>
      <c r="E100" s="2024">
        <v>0</v>
      </c>
      <c r="F100" s="1031">
        <v>0</v>
      </c>
      <c r="G100" s="1030">
        <v>0</v>
      </c>
      <c r="H100" s="2025">
        <v>0</v>
      </c>
      <c r="I100" s="2026">
        <v>0</v>
      </c>
      <c r="J100" s="1030">
        <v>0</v>
      </c>
      <c r="K100" s="2025">
        <v>0</v>
      </c>
      <c r="L100" s="338"/>
      <c r="Q100" s="240"/>
    </row>
    <row r="101" spans="1:17" ht="11.25" customHeight="1" x14ac:dyDescent="0.25">
      <c r="A101" s="1064" t="s">
        <v>1722</v>
      </c>
      <c r="B101" s="2038"/>
      <c r="C101" s="2032">
        <v>0</v>
      </c>
      <c r="D101" s="2032">
        <v>0</v>
      </c>
      <c r="E101" s="2033">
        <v>0</v>
      </c>
      <c r="F101" s="2034">
        <v>0</v>
      </c>
      <c r="G101" s="2032">
        <v>0</v>
      </c>
      <c r="H101" s="2035">
        <v>0</v>
      </c>
      <c r="I101" s="2036">
        <v>0</v>
      </c>
      <c r="J101" s="2032">
        <v>0</v>
      </c>
      <c r="K101" s="2035">
        <v>0</v>
      </c>
      <c r="L101" s="338"/>
      <c r="Q101" s="240"/>
    </row>
    <row r="102" spans="1:17" ht="11.25" customHeight="1" x14ac:dyDescent="0.25">
      <c r="A102" s="1064" t="s">
        <v>1802</v>
      </c>
      <c r="B102" s="2038"/>
      <c r="C102" s="911">
        <v>139843.54</v>
      </c>
      <c r="D102" s="911">
        <v>148555.74</v>
      </c>
      <c r="E102" s="1229">
        <v>149301.62</v>
      </c>
      <c r="F102" s="912">
        <v>0</v>
      </c>
      <c r="G102" s="911">
        <v>100300</v>
      </c>
      <c r="H102" s="1230">
        <v>100300</v>
      </c>
      <c r="I102" s="1231">
        <v>0</v>
      </c>
      <c r="J102" s="911">
        <v>0</v>
      </c>
      <c r="K102" s="1230">
        <v>0</v>
      </c>
      <c r="L102" s="338"/>
      <c r="Q102" s="240"/>
    </row>
    <row r="103" spans="1:17" ht="11.25" customHeight="1" x14ac:dyDescent="0.25">
      <c r="A103" s="1263" t="s">
        <v>1289</v>
      </c>
      <c r="B103" s="2038"/>
      <c r="C103" s="1030">
        <v>0</v>
      </c>
      <c r="D103" s="1030">
        <v>0</v>
      </c>
      <c r="E103" s="2024">
        <v>0</v>
      </c>
      <c r="F103" s="1031">
        <v>0</v>
      </c>
      <c r="G103" s="1030">
        <v>0</v>
      </c>
      <c r="H103" s="2025">
        <v>0</v>
      </c>
      <c r="I103" s="2026">
        <v>0</v>
      </c>
      <c r="J103" s="1030">
        <v>0</v>
      </c>
      <c r="K103" s="2025">
        <v>0</v>
      </c>
      <c r="L103" s="338"/>
      <c r="Q103" s="240"/>
    </row>
    <row r="104" spans="1:17" ht="11.25" customHeight="1" x14ac:dyDescent="0.25">
      <c r="A104" s="1263" t="s">
        <v>631</v>
      </c>
      <c r="B104" s="2038"/>
      <c r="C104" s="1030">
        <v>0</v>
      </c>
      <c r="D104" s="1030">
        <v>0</v>
      </c>
      <c r="E104" s="2024">
        <v>0</v>
      </c>
      <c r="F104" s="1031">
        <v>0</v>
      </c>
      <c r="G104" s="1030">
        <v>0</v>
      </c>
      <c r="H104" s="2025">
        <v>0</v>
      </c>
      <c r="I104" s="2026">
        <v>0</v>
      </c>
      <c r="J104" s="1030">
        <v>0</v>
      </c>
      <c r="K104" s="2025">
        <v>0</v>
      </c>
      <c r="L104" s="338"/>
      <c r="Q104" s="240"/>
    </row>
    <row r="105" spans="1:17" ht="11.25" customHeight="1" x14ac:dyDescent="0.25">
      <c r="A105" s="1263" t="s">
        <v>2391</v>
      </c>
      <c r="B105" s="2038"/>
      <c r="C105" s="1030">
        <v>139843.54</v>
      </c>
      <c r="D105" s="1030">
        <v>148555.74</v>
      </c>
      <c r="E105" s="2024">
        <v>149301.62</v>
      </c>
      <c r="F105" s="1031">
        <v>0</v>
      </c>
      <c r="G105" s="1030">
        <v>100300</v>
      </c>
      <c r="H105" s="2025">
        <v>100300</v>
      </c>
      <c r="I105" s="2026">
        <v>0</v>
      </c>
      <c r="J105" s="1030">
        <v>0</v>
      </c>
      <c r="K105" s="2025">
        <v>0</v>
      </c>
      <c r="L105" s="338"/>
      <c r="Q105" s="240"/>
    </row>
    <row r="106" spans="1:17" ht="11.25" customHeight="1" x14ac:dyDescent="0.25">
      <c r="A106" s="1015" t="s">
        <v>149</v>
      </c>
      <c r="B106" s="2038"/>
      <c r="C106" s="1071">
        <v>5789159.1918619582</v>
      </c>
      <c r="D106" s="1071">
        <v>18647398.54617808</v>
      </c>
      <c r="E106" s="1226">
        <v>25243626.66</v>
      </c>
      <c r="F106" s="1075">
        <v>3434737.004825728</v>
      </c>
      <c r="G106" s="1071">
        <v>19744595</v>
      </c>
      <c r="H106" s="1227">
        <v>19744595</v>
      </c>
      <c r="I106" s="1228">
        <v>27850193.927476004</v>
      </c>
      <c r="J106" s="1071">
        <v>29521205.56312456</v>
      </c>
      <c r="K106" s="1227">
        <v>31292477.896912035</v>
      </c>
      <c r="L106" s="338"/>
      <c r="Q106" s="240"/>
    </row>
    <row r="107" spans="1:17" ht="11.25" customHeight="1" x14ac:dyDescent="0.25">
      <c r="A107" s="1064" t="s">
        <v>150</v>
      </c>
      <c r="B107" s="2038"/>
      <c r="C107" s="911">
        <v>4017660.6024999181</v>
      </c>
      <c r="D107" s="911">
        <v>4112838.1264780825</v>
      </c>
      <c r="E107" s="1229">
        <v>4882505.41</v>
      </c>
      <c r="F107" s="912">
        <v>0</v>
      </c>
      <c r="G107" s="911">
        <v>6036059</v>
      </c>
      <c r="H107" s="1230">
        <v>6036059</v>
      </c>
      <c r="I107" s="1231">
        <v>8388580.5193680003</v>
      </c>
      <c r="J107" s="911">
        <v>8891895.3505300805</v>
      </c>
      <c r="K107" s="1230">
        <v>9425409.0715618841</v>
      </c>
      <c r="L107" s="338"/>
      <c r="Q107" s="240"/>
    </row>
    <row r="108" spans="1:17" ht="11.25" customHeight="1" x14ac:dyDescent="0.25">
      <c r="A108" s="1263" t="s">
        <v>571</v>
      </c>
      <c r="B108" s="2038"/>
      <c r="C108" s="1030">
        <v>4017660.6024999181</v>
      </c>
      <c r="D108" s="1030">
        <v>4112838.1264780825</v>
      </c>
      <c r="E108" s="2024">
        <v>4882505.41</v>
      </c>
      <c r="F108" s="1031">
        <v>0</v>
      </c>
      <c r="G108" s="1030">
        <v>6036059</v>
      </c>
      <c r="H108" s="2025">
        <v>6036059</v>
      </c>
      <c r="I108" s="2026">
        <v>8388580.5193680003</v>
      </c>
      <c r="J108" s="1030">
        <v>8891895.3505300805</v>
      </c>
      <c r="K108" s="2025">
        <v>9425409.0715618841</v>
      </c>
      <c r="L108" s="338"/>
      <c r="Q108" s="240"/>
    </row>
    <row r="109" spans="1:17" ht="11.25" customHeight="1" x14ac:dyDescent="0.25">
      <c r="A109" s="1263" t="s">
        <v>629</v>
      </c>
      <c r="B109" s="2038"/>
      <c r="C109" s="1030">
        <v>0</v>
      </c>
      <c r="D109" s="1030">
        <v>0</v>
      </c>
      <c r="E109" s="2024">
        <v>0</v>
      </c>
      <c r="F109" s="1031">
        <v>0</v>
      </c>
      <c r="G109" s="1030">
        <v>0</v>
      </c>
      <c r="H109" s="2025">
        <v>0</v>
      </c>
      <c r="I109" s="2026">
        <v>0</v>
      </c>
      <c r="J109" s="1030">
        <v>0</v>
      </c>
      <c r="K109" s="2025">
        <v>0</v>
      </c>
      <c r="L109" s="338"/>
      <c r="Q109" s="240"/>
    </row>
    <row r="110" spans="1:17" ht="11.25" customHeight="1" x14ac:dyDescent="0.25">
      <c r="A110" s="1263" t="s">
        <v>97</v>
      </c>
      <c r="B110" s="2038"/>
      <c r="C110" s="1030">
        <v>0</v>
      </c>
      <c r="D110" s="1030">
        <v>0</v>
      </c>
      <c r="E110" s="2024">
        <v>0</v>
      </c>
      <c r="F110" s="1031">
        <v>0</v>
      </c>
      <c r="G110" s="1030">
        <v>0</v>
      </c>
      <c r="H110" s="2025">
        <v>0</v>
      </c>
      <c r="I110" s="2026">
        <v>0</v>
      </c>
      <c r="J110" s="1030">
        <v>0</v>
      </c>
      <c r="K110" s="2025">
        <v>0</v>
      </c>
      <c r="L110" s="338"/>
      <c r="Q110" s="240"/>
    </row>
    <row r="111" spans="1:17" ht="11.25" customHeight="1" x14ac:dyDescent="0.25">
      <c r="A111" s="1064" t="s">
        <v>151</v>
      </c>
      <c r="B111" s="2038"/>
      <c r="C111" s="911">
        <v>1771498.5893620402</v>
      </c>
      <c r="D111" s="911">
        <v>14534560.419699997</v>
      </c>
      <c r="E111" s="1229">
        <v>20361121.25</v>
      </c>
      <c r="F111" s="912">
        <v>3434737.004825728</v>
      </c>
      <c r="G111" s="911">
        <v>13708536</v>
      </c>
      <c r="H111" s="1230">
        <v>13708536</v>
      </c>
      <c r="I111" s="1231">
        <v>19461613.408108003</v>
      </c>
      <c r="J111" s="911">
        <v>20629310.212594479</v>
      </c>
      <c r="K111" s="1230">
        <v>21867068.82535015</v>
      </c>
      <c r="L111" s="338"/>
      <c r="Q111" s="240"/>
    </row>
    <row r="112" spans="1:17" ht="11.25" customHeight="1" x14ac:dyDescent="0.25">
      <c r="A112" s="1263" t="s">
        <v>736</v>
      </c>
      <c r="B112" s="2038"/>
      <c r="C112" s="1030">
        <v>764447.8793620402</v>
      </c>
      <c r="D112" s="1030">
        <v>2964780.5899999994</v>
      </c>
      <c r="E112" s="2024">
        <v>5802252.0299999993</v>
      </c>
      <c r="F112" s="1031">
        <v>0</v>
      </c>
      <c r="G112" s="1030">
        <v>1953276</v>
      </c>
      <c r="H112" s="2025">
        <v>1953276</v>
      </c>
      <c r="I112" s="2026">
        <v>4582193.8716960009</v>
      </c>
      <c r="J112" s="1030">
        <v>4857125.5039977599</v>
      </c>
      <c r="K112" s="2025">
        <v>5148553.034237626</v>
      </c>
      <c r="L112" s="338"/>
      <c r="Q112" s="240"/>
    </row>
    <row r="113" spans="1:17" ht="11.25" customHeight="1" x14ac:dyDescent="0.25">
      <c r="A113" s="1263" t="s">
        <v>737</v>
      </c>
      <c r="B113" s="2038"/>
      <c r="C113" s="1030">
        <v>0</v>
      </c>
      <c r="D113" s="1030">
        <v>0</v>
      </c>
      <c r="E113" s="2024">
        <v>0</v>
      </c>
      <c r="F113" s="1031">
        <v>0</v>
      </c>
      <c r="G113" s="1030">
        <v>0</v>
      </c>
      <c r="H113" s="2025">
        <v>0</v>
      </c>
      <c r="I113" s="2026">
        <v>0</v>
      </c>
      <c r="J113" s="1030">
        <v>0</v>
      </c>
      <c r="K113" s="2025">
        <v>0</v>
      </c>
      <c r="L113" s="338"/>
      <c r="Q113" s="240"/>
    </row>
    <row r="114" spans="1:17" ht="11.25" customHeight="1" x14ac:dyDescent="0.25">
      <c r="A114" s="1263" t="s">
        <v>738</v>
      </c>
      <c r="B114" s="2038"/>
      <c r="C114" s="1030">
        <v>0</v>
      </c>
      <c r="D114" s="1030">
        <v>0</v>
      </c>
      <c r="E114" s="2024">
        <v>0</v>
      </c>
      <c r="F114" s="1031">
        <v>0</v>
      </c>
      <c r="G114" s="1030">
        <v>0</v>
      </c>
      <c r="H114" s="2025">
        <v>0</v>
      </c>
      <c r="I114" s="2026">
        <v>0</v>
      </c>
      <c r="J114" s="1030">
        <v>0</v>
      </c>
      <c r="K114" s="2025">
        <v>0</v>
      </c>
      <c r="L114" s="338"/>
      <c r="Q114" s="240"/>
    </row>
    <row r="115" spans="1:17" ht="11.25" customHeight="1" x14ac:dyDescent="0.25">
      <c r="A115" s="1263" t="s">
        <v>818</v>
      </c>
      <c r="B115" s="2038"/>
      <c r="C115" s="1030">
        <v>1007050.71</v>
      </c>
      <c r="D115" s="1030">
        <v>11569779.829699997</v>
      </c>
      <c r="E115" s="2024">
        <v>14558869.219999999</v>
      </c>
      <c r="F115" s="1031">
        <v>3434737.004825728</v>
      </c>
      <c r="G115" s="1030">
        <v>11755260</v>
      </c>
      <c r="H115" s="2025">
        <v>11755260</v>
      </c>
      <c r="I115" s="2026">
        <v>14879419.536412001</v>
      </c>
      <c r="J115" s="1030">
        <v>15772184.708596721</v>
      </c>
      <c r="K115" s="2025">
        <v>16718515.791112524</v>
      </c>
      <c r="L115" s="338"/>
      <c r="Q115" s="240"/>
    </row>
    <row r="116" spans="1:17" ht="11.25" customHeight="1" x14ac:dyDescent="0.25">
      <c r="A116" s="1263" t="s">
        <v>293</v>
      </c>
      <c r="B116" s="2038"/>
      <c r="C116" s="1030">
        <v>0</v>
      </c>
      <c r="D116" s="1030">
        <v>0</v>
      </c>
      <c r="E116" s="2024">
        <v>0</v>
      </c>
      <c r="F116" s="1031">
        <v>0</v>
      </c>
      <c r="G116" s="1030">
        <v>0</v>
      </c>
      <c r="H116" s="2025">
        <v>0</v>
      </c>
      <c r="I116" s="2026">
        <v>0</v>
      </c>
      <c r="J116" s="1030">
        <v>0</v>
      </c>
      <c r="K116" s="2025">
        <v>0</v>
      </c>
      <c r="L116" s="338"/>
      <c r="Q116" s="240"/>
    </row>
    <row r="117" spans="1:17" ht="11.25" customHeight="1" x14ac:dyDescent="0.25">
      <c r="A117" s="1064" t="s">
        <v>152</v>
      </c>
      <c r="B117" s="2038"/>
      <c r="C117" s="911">
        <v>0</v>
      </c>
      <c r="D117" s="911">
        <v>0</v>
      </c>
      <c r="E117" s="1229">
        <v>0</v>
      </c>
      <c r="F117" s="912">
        <v>0</v>
      </c>
      <c r="G117" s="911">
        <v>0</v>
      </c>
      <c r="H117" s="1230">
        <v>0</v>
      </c>
      <c r="I117" s="1231">
        <v>0</v>
      </c>
      <c r="J117" s="911">
        <v>0</v>
      </c>
      <c r="K117" s="1230">
        <v>0</v>
      </c>
      <c r="L117" s="338"/>
      <c r="Q117" s="240"/>
    </row>
    <row r="118" spans="1:17" ht="11.25" customHeight="1" x14ac:dyDescent="0.25">
      <c r="A118" s="1263" t="s">
        <v>730</v>
      </c>
      <c r="B118" s="2038"/>
      <c r="C118" s="1030">
        <v>0</v>
      </c>
      <c r="D118" s="1030">
        <v>0</v>
      </c>
      <c r="E118" s="2024">
        <v>0</v>
      </c>
      <c r="F118" s="1031">
        <v>0</v>
      </c>
      <c r="G118" s="1030">
        <v>0</v>
      </c>
      <c r="H118" s="2025">
        <v>0</v>
      </c>
      <c r="I118" s="2026">
        <v>0</v>
      </c>
      <c r="J118" s="1030">
        <v>0</v>
      </c>
      <c r="K118" s="2025">
        <v>0</v>
      </c>
      <c r="L118" s="338"/>
      <c r="Q118" s="240"/>
    </row>
    <row r="119" spans="1:17" ht="11.25" customHeight="1" x14ac:dyDescent="0.25">
      <c r="A119" s="1263" t="s">
        <v>731</v>
      </c>
      <c r="B119" s="2038"/>
      <c r="C119" s="1030">
        <v>0</v>
      </c>
      <c r="D119" s="1030">
        <v>0</v>
      </c>
      <c r="E119" s="2024">
        <v>0</v>
      </c>
      <c r="F119" s="1031">
        <v>0</v>
      </c>
      <c r="G119" s="1030">
        <v>0</v>
      </c>
      <c r="H119" s="2025">
        <v>0</v>
      </c>
      <c r="I119" s="2026">
        <v>0</v>
      </c>
      <c r="J119" s="1030">
        <v>0</v>
      </c>
      <c r="K119" s="2025">
        <v>0</v>
      </c>
      <c r="L119" s="338"/>
      <c r="Q119" s="240"/>
    </row>
    <row r="120" spans="1:17" ht="11.25" customHeight="1" x14ac:dyDescent="0.25">
      <c r="A120" s="1263" t="s">
        <v>293</v>
      </c>
      <c r="B120" s="2038"/>
      <c r="C120" s="1030">
        <v>0</v>
      </c>
      <c r="D120" s="1030">
        <v>0</v>
      </c>
      <c r="E120" s="2024">
        <v>0</v>
      </c>
      <c r="F120" s="1031">
        <v>0</v>
      </c>
      <c r="G120" s="1030">
        <v>0</v>
      </c>
      <c r="H120" s="2025">
        <v>0</v>
      </c>
      <c r="I120" s="2026">
        <v>0</v>
      </c>
      <c r="J120" s="1030">
        <v>0</v>
      </c>
      <c r="K120" s="2025">
        <v>0</v>
      </c>
      <c r="L120" s="338"/>
      <c r="Q120" s="240"/>
    </row>
    <row r="121" spans="1:17" ht="11.25" customHeight="1" x14ac:dyDescent="0.25">
      <c r="A121" s="1015" t="s">
        <v>153</v>
      </c>
      <c r="B121" s="2038"/>
      <c r="C121" s="1071">
        <v>15922952.356737725</v>
      </c>
      <c r="D121" s="1071">
        <v>21503461.91257957</v>
      </c>
      <c r="E121" s="1226">
        <v>22596127.405803777</v>
      </c>
      <c r="F121" s="1075">
        <v>0</v>
      </c>
      <c r="G121" s="1071">
        <v>25015050</v>
      </c>
      <c r="H121" s="1227">
        <v>25015050</v>
      </c>
      <c r="I121" s="1228">
        <v>26523716.24599072</v>
      </c>
      <c r="J121" s="1071">
        <v>28115139.220750161</v>
      </c>
      <c r="K121" s="1227">
        <v>29802047.573995177</v>
      </c>
      <c r="L121" s="338"/>
      <c r="Q121" s="240"/>
    </row>
    <row r="122" spans="1:17" ht="11.25" customHeight="1" x14ac:dyDescent="0.25">
      <c r="A122" s="1064" t="s">
        <v>654</v>
      </c>
      <c r="B122" s="2038"/>
      <c r="C122" s="911">
        <v>5752859.9772365438</v>
      </c>
      <c r="D122" s="911">
        <v>8010450.4925565645</v>
      </c>
      <c r="E122" s="1229">
        <v>9569701.9399999995</v>
      </c>
      <c r="F122" s="912">
        <v>0</v>
      </c>
      <c r="G122" s="911">
        <v>14022486</v>
      </c>
      <c r="H122" s="1230">
        <v>14022486</v>
      </c>
      <c r="I122" s="1231">
        <v>14099010.668808</v>
      </c>
      <c r="J122" s="911">
        <v>14944951.30893648</v>
      </c>
      <c r="K122" s="1230">
        <v>15841648.387472671</v>
      </c>
      <c r="L122" s="338"/>
      <c r="Q122" s="240"/>
    </row>
    <row r="123" spans="1:17" ht="11.25" customHeight="1" x14ac:dyDescent="0.25">
      <c r="A123" s="1263" t="s">
        <v>741</v>
      </c>
      <c r="B123" s="2038"/>
      <c r="C123" s="1030">
        <v>5752859.9772365438</v>
      </c>
      <c r="D123" s="1030">
        <v>8010450.4925565645</v>
      </c>
      <c r="E123" s="2024">
        <v>9569701.9399999995</v>
      </c>
      <c r="F123" s="1031">
        <v>0</v>
      </c>
      <c r="G123" s="1030">
        <v>14022486</v>
      </c>
      <c r="H123" s="2025">
        <v>14022486</v>
      </c>
      <c r="I123" s="2026">
        <v>14099010.668808</v>
      </c>
      <c r="J123" s="1030">
        <v>14944951.30893648</v>
      </c>
      <c r="K123" s="2025">
        <v>15841648.387472671</v>
      </c>
      <c r="L123" s="338"/>
      <c r="Q123" s="240"/>
    </row>
    <row r="124" spans="1:17" ht="11.25" customHeight="1" x14ac:dyDescent="0.25">
      <c r="A124" s="1263" t="s">
        <v>94</v>
      </c>
      <c r="B124" s="2038"/>
      <c r="C124" s="1030">
        <v>0</v>
      </c>
      <c r="D124" s="1030">
        <v>0</v>
      </c>
      <c r="E124" s="2024">
        <v>0</v>
      </c>
      <c r="F124" s="1031">
        <v>0</v>
      </c>
      <c r="G124" s="1030">
        <v>0</v>
      </c>
      <c r="H124" s="2025">
        <v>0</v>
      </c>
      <c r="I124" s="2026">
        <v>0</v>
      </c>
      <c r="J124" s="1030">
        <v>0</v>
      </c>
      <c r="K124" s="2025">
        <v>0</v>
      </c>
      <c r="L124" s="338"/>
      <c r="Q124" s="240"/>
    </row>
    <row r="125" spans="1:17" ht="11.25" customHeight="1" x14ac:dyDescent="0.25">
      <c r="A125" s="1064" t="s">
        <v>958</v>
      </c>
      <c r="B125" s="2038"/>
      <c r="C125" s="911">
        <v>4991198.3595011821</v>
      </c>
      <c r="D125" s="911">
        <v>5404811.2172535928</v>
      </c>
      <c r="E125" s="1229">
        <v>5497506.4400000004</v>
      </c>
      <c r="F125" s="912">
        <v>0</v>
      </c>
      <c r="G125" s="911">
        <v>2722681</v>
      </c>
      <c r="H125" s="1230">
        <v>2722681</v>
      </c>
      <c r="I125" s="1231">
        <v>4382582.4433919992</v>
      </c>
      <c r="J125" s="911">
        <v>4645537.3899955209</v>
      </c>
      <c r="K125" s="1230">
        <v>4924269.6333952518</v>
      </c>
      <c r="L125" s="338"/>
      <c r="Q125" s="240"/>
    </row>
    <row r="126" spans="1:17" ht="11.25" customHeight="1" x14ac:dyDescent="0.25">
      <c r="A126" s="1263" t="s">
        <v>739</v>
      </c>
      <c r="B126" s="2038"/>
      <c r="C126" s="1030">
        <v>4991198.3595011821</v>
      </c>
      <c r="D126" s="1030">
        <v>5404811.2172535928</v>
      </c>
      <c r="E126" s="2024">
        <v>5497506.4400000004</v>
      </c>
      <c r="F126" s="1031">
        <v>0</v>
      </c>
      <c r="G126" s="1030">
        <v>2722681</v>
      </c>
      <c r="H126" s="2025">
        <v>2722681</v>
      </c>
      <c r="I126" s="2026">
        <v>4382582.4433919992</v>
      </c>
      <c r="J126" s="1030">
        <v>4645537.3899955209</v>
      </c>
      <c r="K126" s="2025">
        <v>4924269.6333952518</v>
      </c>
      <c r="L126" s="338"/>
      <c r="Q126" s="240"/>
    </row>
    <row r="127" spans="1:17" ht="11.25" customHeight="1" x14ac:dyDescent="0.25">
      <c r="A127" s="1263" t="s">
        <v>740</v>
      </c>
      <c r="B127" s="2038"/>
      <c r="C127" s="1030">
        <v>0</v>
      </c>
      <c r="D127" s="1030">
        <v>0</v>
      </c>
      <c r="E127" s="2024">
        <v>0</v>
      </c>
      <c r="F127" s="1031">
        <v>0</v>
      </c>
      <c r="G127" s="1030">
        <v>0</v>
      </c>
      <c r="H127" s="2025">
        <v>0</v>
      </c>
      <c r="I127" s="2026">
        <v>0</v>
      </c>
      <c r="J127" s="1030">
        <v>0</v>
      </c>
      <c r="K127" s="2025">
        <v>0</v>
      </c>
      <c r="L127" s="338"/>
      <c r="Q127" s="240"/>
    </row>
    <row r="128" spans="1:17" ht="11.25" customHeight="1" x14ac:dyDescent="0.25">
      <c r="A128" s="1064" t="s">
        <v>1136</v>
      </c>
      <c r="B128" s="2038"/>
      <c r="C128" s="911">
        <v>3112166</v>
      </c>
      <c r="D128" s="911">
        <v>4262714.8435146604</v>
      </c>
      <c r="E128" s="1229">
        <v>4180255.5900000003</v>
      </c>
      <c r="F128" s="912">
        <v>0</v>
      </c>
      <c r="G128" s="911">
        <v>4675655</v>
      </c>
      <c r="H128" s="1230">
        <v>4675655</v>
      </c>
      <c r="I128" s="1231">
        <v>4321162.3413667204</v>
      </c>
      <c r="J128" s="911">
        <v>4580432.0818487229</v>
      </c>
      <c r="K128" s="1230">
        <v>4855258.0067596473</v>
      </c>
      <c r="L128" s="338"/>
      <c r="Q128" s="240"/>
    </row>
    <row r="129" spans="1:17" ht="11.25" customHeight="1" x14ac:dyDescent="0.25">
      <c r="A129" s="1263" t="s">
        <v>733</v>
      </c>
      <c r="B129" s="2038"/>
      <c r="C129" s="1030">
        <v>3112166</v>
      </c>
      <c r="D129" s="1030">
        <v>4262714.8435146604</v>
      </c>
      <c r="E129" s="2024">
        <v>4180255.5900000003</v>
      </c>
      <c r="F129" s="1031">
        <v>0</v>
      </c>
      <c r="G129" s="1030">
        <v>4675655</v>
      </c>
      <c r="H129" s="2025">
        <v>4675655</v>
      </c>
      <c r="I129" s="2026">
        <v>4321162.3413667204</v>
      </c>
      <c r="J129" s="1030">
        <v>4580432.0818487229</v>
      </c>
      <c r="K129" s="2025">
        <v>4855258.0067596473</v>
      </c>
      <c r="L129" s="338"/>
      <c r="Q129" s="240"/>
    </row>
    <row r="130" spans="1:17" ht="11.25" customHeight="1" x14ac:dyDescent="0.25">
      <c r="A130" s="1263" t="s">
        <v>734</v>
      </c>
      <c r="B130" s="2038"/>
      <c r="C130" s="1030">
        <v>0</v>
      </c>
      <c r="D130" s="1030">
        <v>0</v>
      </c>
      <c r="E130" s="2024">
        <v>0</v>
      </c>
      <c r="F130" s="1031">
        <v>0</v>
      </c>
      <c r="G130" s="1030">
        <v>0</v>
      </c>
      <c r="H130" s="2025">
        <v>0</v>
      </c>
      <c r="I130" s="2026">
        <v>0</v>
      </c>
      <c r="J130" s="1030">
        <v>0</v>
      </c>
      <c r="K130" s="2025">
        <v>0</v>
      </c>
      <c r="L130" s="338"/>
      <c r="Q130" s="240"/>
    </row>
    <row r="131" spans="1:17" ht="11.25" customHeight="1" x14ac:dyDescent="0.25">
      <c r="A131" s="1263" t="s">
        <v>735</v>
      </c>
      <c r="B131" s="2038"/>
      <c r="C131" s="1030">
        <v>0</v>
      </c>
      <c r="D131" s="1030">
        <v>0</v>
      </c>
      <c r="E131" s="2024">
        <v>0</v>
      </c>
      <c r="F131" s="1031">
        <v>0</v>
      </c>
      <c r="G131" s="1030">
        <v>0</v>
      </c>
      <c r="H131" s="2025">
        <v>0</v>
      </c>
      <c r="I131" s="2026">
        <v>0</v>
      </c>
      <c r="J131" s="1030">
        <v>0</v>
      </c>
      <c r="K131" s="2025">
        <v>0</v>
      </c>
      <c r="L131" s="338"/>
      <c r="Q131" s="240"/>
    </row>
    <row r="132" spans="1:17" ht="11.25" customHeight="1" x14ac:dyDescent="0.25">
      <c r="A132" s="1064" t="s">
        <v>1137</v>
      </c>
      <c r="B132" s="2038"/>
      <c r="C132" s="911">
        <v>2066728.0200000003</v>
      </c>
      <c r="D132" s="911">
        <v>3825485.3592547514</v>
      </c>
      <c r="E132" s="1229">
        <v>3348663.4358037789</v>
      </c>
      <c r="F132" s="912">
        <v>0</v>
      </c>
      <c r="G132" s="911">
        <v>3594228</v>
      </c>
      <c r="H132" s="1230">
        <v>3594228</v>
      </c>
      <c r="I132" s="1231">
        <v>3720960.7924240003</v>
      </c>
      <c r="J132" s="911">
        <v>3944218.4399694405</v>
      </c>
      <c r="K132" s="1230">
        <v>4180871.5463676075</v>
      </c>
      <c r="L132" s="338"/>
      <c r="Q132" s="240"/>
    </row>
    <row r="133" spans="1:17" ht="11.25" customHeight="1" x14ac:dyDescent="0.25">
      <c r="A133" s="1263" t="s">
        <v>732</v>
      </c>
      <c r="B133" s="902"/>
      <c r="C133" s="1030">
        <v>2066728.0200000003</v>
      </c>
      <c r="D133" s="1030">
        <v>3825485.3592547514</v>
      </c>
      <c r="E133" s="2024">
        <v>3348663.4358037789</v>
      </c>
      <c r="F133" s="1031">
        <v>0</v>
      </c>
      <c r="G133" s="1030">
        <v>3594228</v>
      </c>
      <c r="H133" s="2025">
        <v>3594228</v>
      </c>
      <c r="I133" s="2026">
        <v>3720960.7924240003</v>
      </c>
      <c r="J133" s="1030">
        <v>3944218.4399694405</v>
      </c>
      <c r="K133" s="2025">
        <v>4180871.5463676075</v>
      </c>
      <c r="L133" s="338"/>
    </row>
    <row r="134" spans="1:17" ht="11.25" customHeight="1" x14ac:dyDescent="0.25">
      <c r="A134" s="1015" t="s">
        <v>293</v>
      </c>
      <c r="B134" s="902"/>
      <c r="C134" s="1071">
        <v>50239.369999999995</v>
      </c>
      <c r="D134" s="1071">
        <v>27436.03</v>
      </c>
      <c r="E134" s="1226">
        <v>5412.1200000000008</v>
      </c>
      <c r="F134" s="1075">
        <v>0</v>
      </c>
      <c r="G134" s="1071">
        <v>35350</v>
      </c>
      <c r="H134" s="1227">
        <v>35350</v>
      </c>
      <c r="I134" s="1228">
        <v>55350</v>
      </c>
      <c r="J134" s="1071">
        <v>58635</v>
      </c>
      <c r="K134" s="1227">
        <v>62117.1</v>
      </c>
      <c r="L134" s="338"/>
    </row>
    <row r="135" spans="1:17" ht="11.25" customHeight="1" x14ac:dyDescent="0.25">
      <c r="A135" s="1064" t="s">
        <v>95</v>
      </c>
      <c r="B135" s="902"/>
      <c r="C135" s="1030">
        <v>39081.06</v>
      </c>
      <c r="D135" s="1030">
        <v>16677.04</v>
      </c>
      <c r="E135" s="2024">
        <v>5412.1200000000008</v>
      </c>
      <c r="F135" s="1031">
        <v>0</v>
      </c>
      <c r="G135" s="1030">
        <v>35100</v>
      </c>
      <c r="H135" s="2025">
        <v>35100</v>
      </c>
      <c r="I135" s="2026">
        <v>55100</v>
      </c>
      <c r="J135" s="1030">
        <v>58370</v>
      </c>
      <c r="K135" s="2025">
        <v>61836.2</v>
      </c>
      <c r="L135" s="338"/>
    </row>
    <row r="136" spans="1:17" ht="11.25" customHeight="1" x14ac:dyDescent="0.25">
      <c r="A136" s="1064" t="s">
        <v>1250</v>
      </c>
      <c r="B136" s="902"/>
      <c r="C136" s="1030">
        <v>11158.31</v>
      </c>
      <c r="D136" s="1030">
        <v>10758.99</v>
      </c>
      <c r="E136" s="2024">
        <v>0</v>
      </c>
      <c r="F136" s="1031">
        <v>0</v>
      </c>
      <c r="G136" s="1030">
        <v>250</v>
      </c>
      <c r="H136" s="2025">
        <v>250</v>
      </c>
      <c r="I136" s="2026">
        <v>250</v>
      </c>
      <c r="J136" s="1030">
        <v>265</v>
      </c>
      <c r="K136" s="2025">
        <v>280.90000000000003</v>
      </c>
      <c r="L136" s="338"/>
    </row>
    <row r="137" spans="1:17" ht="11.25" customHeight="1" x14ac:dyDescent="0.25">
      <c r="A137" s="1064" t="s">
        <v>630</v>
      </c>
      <c r="B137" s="902"/>
      <c r="C137" s="1030">
        <v>0</v>
      </c>
      <c r="D137" s="1030">
        <v>0</v>
      </c>
      <c r="E137" s="2024">
        <v>0</v>
      </c>
      <c r="F137" s="1031">
        <v>0</v>
      </c>
      <c r="G137" s="1030">
        <v>0</v>
      </c>
      <c r="H137" s="2025">
        <v>0</v>
      </c>
      <c r="I137" s="2026">
        <v>0</v>
      </c>
      <c r="J137" s="1030">
        <v>0</v>
      </c>
      <c r="K137" s="2025">
        <v>0</v>
      </c>
      <c r="L137" s="338"/>
    </row>
    <row r="138" spans="1:17" ht="11.25" customHeight="1" x14ac:dyDescent="0.25">
      <c r="A138" s="1064" t="s">
        <v>96</v>
      </c>
      <c r="B138" s="902"/>
      <c r="C138" s="1030">
        <v>0</v>
      </c>
      <c r="D138" s="1030">
        <v>0</v>
      </c>
      <c r="E138" s="2024">
        <v>0</v>
      </c>
      <c r="F138" s="1031">
        <v>0</v>
      </c>
      <c r="G138" s="1030">
        <v>0</v>
      </c>
      <c r="H138" s="2025">
        <v>0</v>
      </c>
      <c r="I138" s="2026">
        <v>0</v>
      </c>
      <c r="J138" s="1030">
        <v>0</v>
      </c>
      <c r="K138" s="2025">
        <v>0</v>
      </c>
      <c r="L138" s="338"/>
    </row>
    <row r="139" spans="1:17" ht="11.25" customHeight="1" x14ac:dyDescent="0.25">
      <c r="A139" s="1064" t="s">
        <v>1251</v>
      </c>
      <c r="B139" s="902"/>
      <c r="C139" s="1030">
        <v>0</v>
      </c>
      <c r="D139" s="1030">
        <v>0</v>
      </c>
      <c r="E139" s="2024">
        <v>0</v>
      </c>
      <c r="F139" s="1031">
        <v>0</v>
      </c>
      <c r="G139" s="1030">
        <v>0</v>
      </c>
      <c r="H139" s="2025">
        <v>0</v>
      </c>
      <c r="I139" s="2026">
        <v>0</v>
      </c>
      <c r="J139" s="1030">
        <v>0</v>
      </c>
      <c r="K139" s="2025">
        <v>0</v>
      </c>
      <c r="L139" s="338"/>
    </row>
    <row r="140" spans="1:17" ht="11.25" customHeight="1" x14ac:dyDescent="0.25">
      <c r="A140" s="1965" t="s">
        <v>2487</v>
      </c>
      <c r="B140" s="902">
        <v>3</v>
      </c>
      <c r="C140" s="259">
        <v>50383475.706582442</v>
      </c>
      <c r="D140" s="259">
        <v>60570905.480193764</v>
      </c>
      <c r="E140" s="1236">
        <v>65924469.405803777</v>
      </c>
      <c r="F140" s="262">
        <v>35385136.475102916</v>
      </c>
      <c r="G140" s="259">
        <v>82805144.285714284</v>
      </c>
      <c r="H140" s="1237">
        <v>82805144.285714284</v>
      </c>
      <c r="I140" s="1238">
        <v>86297787.084331125</v>
      </c>
      <c r="J140" s="259">
        <v>89152618.309390992</v>
      </c>
      <c r="K140" s="1237">
        <v>94618139.40795444</v>
      </c>
      <c r="L140" s="338"/>
      <c r="Q140" s="267"/>
    </row>
    <row r="141" spans="1:17" x14ac:dyDescent="0.25">
      <c r="A141" s="2039" t="s">
        <v>898</v>
      </c>
      <c r="B141" s="2040"/>
      <c r="C141" s="316">
        <v>19286660.254558846</v>
      </c>
      <c r="D141" s="316">
        <v>2280514.7819191888</v>
      </c>
      <c r="E141" s="882">
        <v>-5054308.3579318151</v>
      </c>
      <c r="F141" s="883">
        <v>18770209.354897082</v>
      </c>
      <c r="G141" s="316">
        <v>-15432553.285714284</v>
      </c>
      <c r="H141" s="823">
        <v>-15432553.285714284</v>
      </c>
      <c r="I141" s="317">
        <v>-3590867.0218468606</v>
      </c>
      <c r="J141" s="316">
        <v>-938183.04315766692</v>
      </c>
      <c r="K141" s="882">
        <v>-842898.03174711764</v>
      </c>
      <c r="L141" s="338"/>
    </row>
    <row r="142" spans="1:17" x14ac:dyDescent="0.25">
      <c r="A142" s="2041" t="s">
        <v>986</v>
      </c>
      <c r="B142" s="2042"/>
      <c r="C142" s="2043"/>
      <c r="D142" s="2043"/>
      <c r="E142" s="2043"/>
      <c r="F142" s="2043"/>
      <c r="G142" s="2043"/>
      <c r="H142" s="2043"/>
      <c r="I142" s="2043"/>
      <c r="J142" s="2043"/>
      <c r="K142" s="2043"/>
      <c r="L142" s="338"/>
    </row>
    <row r="143" spans="1:17" ht="11.25" customHeight="1" x14ac:dyDescent="0.25">
      <c r="A143" s="931" t="s">
        <v>440</v>
      </c>
      <c r="B143" s="2042"/>
      <c r="C143" s="2044"/>
      <c r="D143" s="2044"/>
      <c r="E143" s="2045"/>
      <c r="F143" s="2045"/>
      <c r="G143" s="2045"/>
      <c r="H143" s="2045"/>
      <c r="I143" s="2045"/>
      <c r="J143" s="2045"/>
      <c r="K143" s="2045"/>
    </row>
    <row r="144" spans="1:17" ht="11.25" customHeight="1" x14ac:dyDescent="0.25">
      <c r="A144" s="2046" t="s">
        <v>1815</v>
      </c>
      <c r="B144" s="2042"/>
      <c r="C144" s="2044"/>
      <c r="D144" s="2044"/>
      <c r="E144" s="2045"/>
      <c r="F144" s="2045"/>
      <c r="G144" s="2045"/>
      <c r="H144" s="2045"/>
      <c r="I144" s="2045"/>
      <c r="J144" s="2045"/>
      <c r="K144" s="2045"/>
    </row>
    <row r="145" spans="1:11" ht="11.25" customHeight="1" x14ac:dyDescent="0.25">
      <c r="A145" s="931" t="s">
        <v>1816</v>
      </c>
      <c r="B145" s="2042"/>
      <c r="C145" s="2044"/>
      <c r="D145" s="2044"/>
      <c r="E145" s="2045"/>
      <c r="F145" s="2045"/>
      <c r="G145" s="2045"/>
      <c r="H145" s="2045"/>
      <c r="I145" s="2045"/>
      <c r="J145" s="2045"/>
      <c r="K145" s="2045"/>
    </row>
    <row r="146" spans="1:11" ht="22.5" customHeight="1" x14ac:dyDescent="0.25">
      <c r="A146" s="2704" t="s">
        <v>140</v>
      </c>
      <c r="B146" s="2704"/>
      <c r="C146" s="2704"/>
      <c r="D146" s="2704"/>
      <c r="E146" s="2704"/>
      <c r="F146" s="2704"/>
      <c r="G146" s="2704"/>
      <c r="H146" s="2704"/>
      <c r="I146" s="2704"/>
      <c r="J146" s="2704"/>
      <c r="K146" s="2704"/>
    </row>
    <row r="147" spans="1:11" ht="11.25" customHeight="1" x14ac:dyDescent="0.25">
      <c r="A147" s="328"/>
      <c r="B147" s="388"/>
      <c r="C147" s="233"/>
      <c r="D147" s="233"/>
      <c r="E147" s="234"/>
      <c r="F147" s="234"/>
      <c r="G147" s="234"/>
      <c r="H147" s="234"/>
      <c r="I147" s="234"/>
      <c r="J147" s="234"/>
      <c r="K147" s="234"/>
    </row>
    <row r="148" spans="1:11" ht="11.25" customHeight="1" x14ac:dyDescent="0.25">
      <c r="A148" s="328"/>
      <c r="B148" s="388"/>
      <c r="C148" s="233"/>
      <c r="D148" s="233"/>
      <c r="E148" s="234"/>
      <c r="F148" s="234"/>
      <c r="G148" s="234"/>
      <c r="H148" s="234"/>
      <c r="I148" s="234"/>
      <c r="J148" s="234"/>
      <c r="K148" s="234"/>
    </row>
    <row r="149" spans="1:11" ht="11.25" customHeight="1" x14ac:dyDescent="0.25">
      <c r="A149" s="2047" t="s">
        <v>154</v>
      </c>
      <c r="B149" s="2048"/>
      <c r="C149" s="829">
        <v>0</v>
      </c>
      <c r="D149" s="829">
        <v>0</v>
      </c>
      <c r="E149" s="829">
        <v>0</v>
      </c>
      <c r="F149" s="829">
        <v>-8537628.0186000019</v>
      </c>
      <c r="G149" s="829">
        <v>0</v>
      </c>
      <c r="H149" s="829">
        <v>0</v>
      </c>
      <c r="I149" s="829">
        <v>0</v>
      </c>
      <c r="J149" s="829">
        <v>0</v>
      </c>
      <c r="K149" s="829">
        <v>0</v>
      </c>
    </row>
    <row r="150" spans="1:11" ht="11.25" customHeight="1" x14ac:dyDescent="0.25">
      <c r="A150" s="2047" t="s">
        <v>877</v>
      </c>
      <c r="B150" s="2048"/>
      <c r="C150" s="829">
        <v>0</v>
      </c>
      <c r="D150" s="829">
        <v>0</v>
      </c>
      <c r="E150" s="829">
        <v>0</v>
      </c>
      <c r="F150" s="829">
        <v>-34487428.074285075</v>
      </c>
      <c r="G150" s="829">
        <v>0</v>
      </c>
      <c r="H150" s="829">
        <v>0</v>
      </c>
      <c r="I150" s="829">
        <v>0</v>
      </c>
      <c r="J150" s="829">
        <v>0</v>
      </c>
      <c r="K150" s="829">
        <v>0</v>
      </c>
    </row>
    <row r="151" spans="1:11" ht="11.25" customHeight="1" x14ac:dyDescent="0.25"/>
    <row r="152" spans="1:11" ht="11.25" customHeight="1" x14ac:dyDescent="0.25"/>
    <row r="153" spans="1:11" ht="11.25" customHeight="1" x14ac:dyDescent="0.25"/>
    <row r="154" spans="1:11" ht="11.25" customHeight="1" x14ac:dyDescent="0.25">
      <c r="E154" s="1916"/>
    </row>
    <row r="155" spans="1:11" ht="11.25" customHeight="1" x14ac:dyDescent="0.25"/>
    <row r="156" spans="1:11" ht="11.25" customHeight="1" x14ac:dyDescent="0.25"/>
    <row r="157" spans="1:11" ht="11.25" customHeight="1" x14ac:dyDescent="0.25"/>
    <row r="158" spans="1:11" ht="11.25" customHeight="1" x14ac:dyDescent="0.25"/>
    <row r="159" spans="1:11" ht="11.25" customHeight="1" x14ac:dyDescent="0.25"/>
    <row r="160" spans="1:11" ht="11.25" customHeight="1" x14ac:dyDescent="0.25"/>
    <row r="161" ht="11.25" customHeight="1" x14ac:dyDescent="0.25"/>
    <row r="162" ht="11.25" customHeight="1" x14ac:dyDescent="0.25"/>
    <row r="163" ht="11.25" customHeight="1" x14ac:dyDescent="0.25"/>
    <row r="164" ht="11.25" customHeight="1" x14ac:dyDescent="0.25"/>
    <row r="165" ht="11.25" customHeight="1" x14ac:dyDescent="0.25"/>
    <row r="166" ht="11.25" customHeight="1" x14ac:dyDescent="0.25"/>
    <row r="167" ht="11.25" customHeight="1" x14ac:dyDescent="0.25"/>
    <row r="168" ht="11.25" customHeight="1" x14ac:dyDescent="0.25"/>
    <row r="169" ht="11.25" customHeight="1" x14ac:dyDescent="0.25"/>
    <row r="170" ht="11.25" customHeight="1" x14ac:dyDescent="0.25"/>
    <row r="171" ht="11.25" customHeight="1" x14ac:dyDescent="0.25"/>
    <row r="172" ht="11.25" customHeight="1" x14ac:dyDescent="0.25"/>
    <row r="173" ht="11.25" customHeight="1" x14ac:dyDescent="0.25"/>
    <row r="174" ht="11.25" customHeight="1" x14ac:dyDescent="0.25"/>
    <row r="175" ht="11.25" customHeight="1" x14ac:dyDescent="0.25"/>
    <row r="176"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sheetData>
  <mergeCells count="3">
    <mergeCell ref="F2:H2"/>
    <mergeCell ref="I2:K2"/>
    <mergeCell ref="A146:K146"/>
  </mergeCells>
  <phoneticPr fontId="4" type="noConversion"/>
  <pageMargins left="0.75" right="0.75" top="1" bottom="1" header="0.5" footer="0.5"/>
  <pageSetup scale="39" orientation="portrait" verticalDpi="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E36BBE8EEE8494D9F7D5B3DE9421035" ma:contentTypeVersion="1" ma:contentTypeDescription="Create a new document." ma:contentTypeScope="" ma:versionID="bf16d41935080ce22b175407d956219d">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D459B43-F74B-4FBE-8A70-C2F52ED2F359}">
  <ds:schemaRefs>
    <ds:schemaRef ds:uri="http://schemas.microsoft.com/sharepoint/v3/contenttype/forms"/>
  </ds:schemaRefs>
</ds:datastoreItem>
</file>

<file path=customXml/itemProps2.xml><?xml version="1.0" encoding="utf-8"?>
<ds:datastoreItem xmlns:ds="http://schemas.openxmlformats.org/officeDocument/2006/customXml" ds:itemID="{6B28AC17-1BF8-40C9-B180-4BB7806B67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896FB6A-43D3-4938-B276-9E67D2269B64}">
  <ds:schemaRefs>
    <ds:schemaRef ds:uri="http://schemas.microsoft.com/office/2006/documentManagement/types"/>
    <ds:schemaRef ds:uri="http://schemas.microsoft.com/office/2006/metadata/properties"/>
    <ds:schemaRef ds:uri="http://schemas.openxmlformats.org/package/2006/metadata/core-properties"/>
    <ds:schemaRef ds:uri="http://purl.org/dc/terms/"/>
    <ds:schemaRef ds:uri="http://purl.org/dc/dcmitype/"/>
    <ds:schemaRef ds:uri="http://purl.org/dc/elements/1.1/"/>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61</vt:i4>
      </vt:variant>
      <vt:variant>
        <vt:lpstr>Named Ranges</vt:lpstr>
      </vt:variant>
      <vt:variant>
        <vt:i4>249</vt:i4>
      </vt:variant>
    </vt:vector>
  </HeadingPairs>
  <TitlesOfParts>
    <vt:vector size="310" baseType="lpstr">
      <vt:lpstr>START</vt:lpstr>
      <vt:lpstr>Instructions</vt:lpstr>
      <vt:lpstr>Org structure</vt:lpstr>
      <vt:lpstr>Contacts</vt:lpstr>
      <vt:lpstr>A1-Sum</vt:lpstr>
      <vt:lpstr>A2-FinPerf SC</vt:lpstr>
      <vt:lpstr>A2A</vt:lpstr>
      <vt:lpstr>A3-FinPerf V</vt:lpstr>
      <vt:lpstr>A3A</vt:lpstr>
      <vt:lpstr>A4-FinPerf RE</vt:lpstr>
      <vt:lpstr>A5-Capex</vt:lpstr>
      <vt:lpstr>A5A</vt:lpstr>
      <vt:lpstr>A6-FinPos</vt:lpstr>
      <vt:lpstr>A7-CFlow</vt:lpstr>
      <vt:lpstr>A8-ResRecon</vt:lpstr>
      <vt:lpstr>A9-Asset</vt:lpstr>
      <vt:lpstr>A10-SerDel</vt:lpstr>
      <vt:lpstr>SA1</vt:lpstr>
      <vt:lpstr>SA2</vt:lpstr>
      <vt:lpstr>SA3</vt:lpstr>
      <vt:lpstr>SA4</vt:lpstr>
      <vt:lpstr>SA5</vt:lpstr>
      <vt:lpstr>SA6</vt:lpstr>
      <vt:lpstr>SA7</vt:lpstr>
      <vt:lpstr>SA8</vt:lpstr>
      <vt:lpstr>SA9</vt:lpstr>
      <vt:lpstr>SA10</vt:lpstr>
      <vt:lpstr>SA11</vt:lpstr>
      <vt:lpstr>SA12a</vt:lpstr>
      <vt:lpstr>SA12b</vt:lpstr>
      <vt:lpstr>SA13</vt:lpstr>
      <vt:lpstr>SA14</vt:lpstr>
      <vt:lpstr>SA15</vt:lpstr>
      <vt:lpstr>SA16</vt:lpstr>
      <vt:lpstr>SA17</vt:lpstr>
      <vt:lpstr>SA18</vt:lpstr>
      <vt:lpstr>SA19</vt:lpstr>
      <vt:lpstr>SA20</vt:lpstr>
      <vt:lpstr>SA21</vt:lpstr>
      <vt:lpstr>SA22</vt:lpstr>
      <vt:lpstr>SA23</vt:lpstr>
      <vt:lpstr>SA24</vt:lpstr>
      <vt:lpstr>SA25</vt:lpstr>
      <vt:lpstr>SA26</vt:lpstr>
      <vt:lpstr>SA27</vt:lpstr>
      <vt:lpstr>SA28</vt:lpstr>
      <vt:lpstr>SA29</vt:lpstr>
      <vt:lpstr>SA30</vt:lpstr>
      <vt:lpstr>SA31</vt:lpstr>
      <vt:lpstr>SA32</vt:lpstr>
      <vt:lpstr>SA33</vt:lpstr>
      <vt:lpstr>SA34a</vt:lpstr>
      <vt:lpstr>SA34b</vt:lpstr>
      <vt:lpstr>SA34c</vt:lpstr>
      <vt:lpstr>SA34d</vt:lpstr>
      <vt:lpstr>SA35</vt:lpstr>
      <vt:lpstr>SA36</vt:lpstr>
      <vt:lpstr>SA37</vt:lpstr>
      <vt:lpstr>NERF</vt:lpstr>
      <vt:lpstr>MSCOA</vt:lpstr>
      <vt:lpstr>Compliance assessment</vt:lpstr>
      <vt:lpstr>_DEP1</vt:lpstr>
      <vt:lpstr>_DEP10</vt:lpstr>
      <vt:lpstr>_DEP11</vt:lpstr>
      <vt:lpstr>_DEP12</vt:lpstr>
      <vt:lpstr>_DEP13</vt:lpstr>
      <vt:lpstr>_DEP14</vt:lpstr>
      <vt:lpstr>_DEP2</vt:lpstr>
      <vt:lpstr>_DEP3</vt:lpstr>
      <vt:lpstr>_DEP4</vt:lpstr>
      <vt:lpstr>_DEP5</vt:lpstr>
      <vt:lpstr>_DEP6</vt:lpstr>
      <vt:lpstr>_DEP7</vt:lpstr>
      <vt:lpstr>_DEP8</vt:lpstr>
      <vt:lpstr>_DEP9</vt:lpstr>
      <vt:lpstr>_Ent1</vt:lpstr>
      <vt:lpstr>_Ent2</vt:lpstr>
      <vt:lpstr>_Ent3</vt:lpstr>
      <vt:lpstr>Approve1</vt:lpstr>
      <vt:lpstr>Approve10</vt:lpstr>
      <vt:lpstr>Approve2</vt:lpstr>
      <vt:lpstr>Approve3</vt:lpstr>
      <vt:lpstr>Approve4</vt:lpstr>
      <vt:lpstr>Approve5</vt:lpstr>
      <vt:lpstr>Approve6</vt:lpstr>
      <vt:lpstr>Approve7</vt:lpstr>
      <vt:lpstr>Approve8</vt:lpstr>
      <vt:lpstr>Approve9</vt:lpstr>
      <vt:lpstr>Asset_Class</vt:lpstr>
      <vt:lpstr>Asset_sub_class</vt:lpstr>
      <vt:lpstr>basedesc</vt:lpstr>
      <vt:lpstr>baseindex</vt:lpstr>
      <vt:lpstr>Cash1</vt:lpstr>
      <vt:lpstr>Cash2</vt:lpstr>
      <vt:lpstr>ChartA1</vt:lpstr>
      <vt:lpstr>ChartA10</vt:lpstr>
      <vt:lpstr>ChartA11</vt:lpstr>
      <vt:lpstr>ChartA12</vt:lpstr>
      <vt:lpstr>ChartA13</vt:lpstr>
      <vt:lpstr>ChartA2</vt:lpstr>
      <vt:lpstr>ChartA3</vt:lpstr>
      <vt:lpstr>ChartA4</vt:lpstr>
      <vt:lpstr>ChartA5</vt:lpstr>
      <vt:lpstr>ChartA6</vt:lpstr>
      <vt:lpstr>ChartA7</vt:lpstr>
      <vt:lpstr>ChartA8</vt:lpstr>
      <vt:lpstr>ChartA9</vt:lpstr>
      <vt:lpstr>choosebase</vt:lpstr>
      <vt:lpstr>Consolques</vt:lpstr>
      <vt:lpstr>desc</vt:lpstr>
      <vt:lpstr>FinYear</vt:lpstr>
      <vt:lpstr>GrantNatCapex</vt:lpstr>
      <vt:lpstr>GrantNatOpex</vt:lpstr>
      <vt:lpstr>GrantProvCapex</vt:lpstr>
      <vt:lpstr>GrantProvOpex</vt:lpstr>
      <vt:lpstr>Head1</vt:lpstr>
      <vt:lpstr>Head10</vt:lpstr>
      <vt:lpstr>Head11</vt:lpstr>
      <vt:lpstr>Head12</vt:lpstr>
      <vt:lpstr>Head13</vt:lpstr>
      <vt:lpstr>Head14</vt:lpstr>
      <vt:lpstr>Head15</vt:lpstr>
      <vt:lpstr>Head16</vt:lpstr>
      <vt:lpstr>Head17</vt:lpstr>
      <vt:lpstr>Head18</vt:lpstr>
      <vt:lpstr>Head19</vt:lpstr>
      <vt:lpstr>head1A</vt:lpstr>
      <vt:lpstr>head1b</vt:lpstr>
      <vt:lpstr>Head2</vt:lpstr>
      <vt:lpstr>Head20</vt:lpstr>
      <vt:lpstr>Head21</vt:lpstr>
      <vt:lpstr>Head22</vt:lpstr>
      <vt:lpstr>Head23</vt:lpstr>
      <vt:lpstr>Head24</vt:lpstr>
      <vt:lpstr>Head25</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Head5A</vt:lpstr>
      <vt:lpstr>Head5b</vt:lpstr>
      <vt:lpstr>Head6</vt:lpstr>
      <vt:lpstr>Head7</vt:lpstr>
      <vt:lpstr>Head8</vt:lpstr>
      <vt:lpstr>Head9</vt:lpstr>
      <vt:lpstr>Headings</vt:lpstr>
      <vt:lpstr>List1</vt:lpstr>
      <vt:lpstr>List2</vt:lpstr>
      <vt:lpstr>List3</vt:lpstr>
      <vt:lpstr>List4</vt:lpstr>
      <vt:lpstr>List5</vt:lpstr>
      <vt:lpstr>List6</vt:lpstr>
      <vt:lpstr>List7</vt:lpstr>
      <vt:lpstr>List8</vt:lpstr>
      <vt:lpstr>MTREF</vt:lpstr>
      <vt:lpstr>muni</vt:lpstr>
      <vt:lpstr>MuniEntities</vt:lpstr>
      <vt:lpstr>MuniType</vt:lpstr>
      <vt:lpstr>Orgstructurevotes</vt:lpstr>
      <vt:lpstr>'A10-SerDel'!Print_Area</vt:lpstr>
      <vt:lpstr>'A1-Sum'!Print_Area</vt:lpstr>
      <vt:lpstr>'A2-FinPerf SC'!Print_Area</vt:lpstr>
      <vt:lpstr>A3A!Print_Area</vt:lpstr>
      <vt:lpstr>'A3-FinPerf V'!Print_Area</vt:lpstr>
      <vt:lpstr>'A4-FinPerf RE'!Print_Area</vt:lpstr>
      <vt:lpstr>A5A!Print_Area</vt:lpstr>
      <vt:lpstr>'A5-Capex'!Print_Area</vt:lpstr>
      <vt:lpstr>'A6-FinPos'!Print_Area</vt:lpstr>
      <vt:lpstr>'A7-CFlow'!Print_Area</vt:lpstr>
      <vt:lpstr>'A8-ResRecon'!Print_Area</vt:lpstr>
      <vt:lpstr>'A9-Asset'!Print_Area</vt:lpstr>
      <vt:lpstr>Contacts!Print_Area</vt:lpstr>
      <vt:lpstr>Instructions!Print_Area</vt:lpstr>
      <vt:lpstr>NERF!Print_Area</vt:lpstr>
      <vt:lpstr>'SA1'!Print_Area</vt:lpstr>
      <vt:lpstr>'SA10'!Print_Area</vt:lpstr>
      <vt:lpstr>'SA11'!Print_Area</vt:lpstr>
      <vt:lpstr>SA12a!Print_Area</vt:lpstr>
      <vt:lpstr>SA12b!Print_Area</vt:lpstr>
      <vt:lpstr>'SA13'!Print_Area</vt:lpstr>
      <vt:lpstr>'SA14'!Print_Area</vt:lpstr>
      <vt:lpstr>'SA15'!Print_Area</vt:lpstr>
      <vt:lpstr>'SA16'!Print_Area</vt:lpstr>
      <vt:lpstr>'SA17'!Print_Area</vt:lpstr>
      <vt:lpstr>'SA18'!Print_Area</vt:lpstr>
      <vt:lpstr>'SA19'!Print_Area</vt:lpstr>
      <vt:lpstr>'SA2'!Print_Area</vt:lpstr>
      <vt:lpstr>'SA20'!Print_Area</vt:lpstr>
      <vt:lpstr>'SA21'!Print_Area</vt:lpstr>
      <vt:lpstr>'SA22'!Print_Area</vt:lpstr>
      <vt:lpstr>'SA23'!Print_Area</vt:lpstr>
      <vt:lpstr>'SA24'!Print_Area</vt:lpstr>
      <vt:lpstr>'SA25'!Print_Area</vt:lpstr>
      <vt:lpstr>'SA26'!Print_Area</vt:lpstr>
      <vt:lpstr>'SA27'!Print_Area</vt:lpstr>
      <vt:lpstr>'SA28'!Print_Area</vt:lpstr>
      <vt:lpstr>'SA29'!Print_Area</vt:lpstr>
      <vt:lpstr>'SA3'!Print_Area</vt:lpstr>
      <vt:lpstr>'SA30'!Print_Area</vt:lpstr>
      <vt:lpstr>'SA31'!Print_Area</vt:lpstr>
      <vt:lpstr>'SA32'!Print_Area</vt:lpstr>
      <vt:lpstr>'SA33'!Print_Area</vt:lpstr>
      <vt:lpstr>SA34a!Print_Area</vt:lpstr>
      <vt:lpstr>'SA35'!Print_Area</vt:lpstr>
      <vt:lpstr>'SA36'!Print_Area</vt:lpstr>
      <vt:lpstr>'SA37'!Print_Area</vt:lpstr>
      <vt:lpstr>'SA4'!Print_Area</vt:lpstr>
      <vt:lpstr>'SA5'!Print_Area</vt:lpstr>
      <vt:lpstr>'SA6'!Print_Area</vt:lpstr>
      <vt:lpstr>'SA7'!Print_Area</vt:lpstr>
      <vt:lpstr>'SA8'!Print_Area</vt:lpstr>
      <vt:lpstr>'SA9'!Print_Area</vt:lpstr>
      <vt:lpstr>A3A!Print_Titles</vt:lpstr>
      <vt:lpstr>'A3-FinPerf V'!Print_Titles</vt:lpstr>
      <vt:lpstr>'A5-Capex'!Print_Titles</vt:lpstr>
      <vt:lpstr>RandM</vt:lpstr>
      <vt:lpstr>result</vt:lpstr>
      <vt:lpstr>Scale</vt:lpstr>
      <vt:lpstr>SFPerf1</vt:lpstr>
      <vt:lpstr>SFPerf2</vt:lpstr>
      <vt:lpstr>SFpos1</vt:lpstr>
      <vt:lpstr>SFpos2</vt:lpstr>
      <vt:lpstr>TableA1</vt:lpstr>
      <vt:lpstr>TableA10</vt:lpstr>
      <vt:lpstr>TableA11</vt:lpstr>
      <vt:lpstr>TableA12a</vt:lpstr>
      <vt:lpstr>TableA12b</vt:lpstr>
      <vt:lpstr>TableA13</vt:lpstr>
      <vt:lpstr>TableA14</vt:lpstr>
      <vt:lpstr>TableA15</vt:lpstr>
      <vt:lpstr>TableA16</vt:lpstr>
      <vt:lpstr>TableA17</vt:lpstr>
      <vt:lpstr>TableA18</vt:lpstr>
      <vt:lpstr>TableA19</vt:lpstr>
      <vt:lpstr>TableA2</vt:lpstr>
      <vt:lpstr>TableA20</vt:lpstr>
      <vt:lpstr>TableA21</vt:lpstr>
      <vt:lpstr>TableA22</vt:lpstr>
      <vt:lpstr>TableA23</vt:lpstr>
      <vt:lpstr>TableA24</vt:lpstr>
      <vt:lpstr>TableA25</vt:lpstr>
      <vt:lpstr>TableA26</vt:lpstr>
      <vt:lpstr>TableA27</vt:lpstr>
      <vt:lpstr>TableA28</vt:lpstr>
      <vt:lpstr>TableA29</vt:lpstr>
      <vt:lpstr>TableA3</vt:lpstr>
      <vt:lpstr>TableA30</vt:lpstr>
      <vt:lpstr>TableA31</vt:lpstr>
      <vt:lpstr>TableA32</vt:lpstr>
      <vt:lpstr>TableA33</vt:lpstr>
      <vt:lpstr>TableA34a</vt:lpstr>
      <vt:lpstr>TableA34b</vt:lpstr>
      <vt:lpstr>TableA34c</vt:lpstr>
      <vt:lpstr>TableA34d</vt:lpstr>
      <vt:lpstr>TableA35</vt:lpstr>
      <vt:lpstr>TableA36</vt:lpstr>
      <vt:lpstr>TableA37</vt:lpstr>
      <vt:lpstr>TableA4</vt:lpstr>
      <vt:lpstr>TableA5</vt:lpstr>
      <vt:lpstr>TableA6</vt:lpstr>
      <vt:lpstr>TableA7</vt:lpstr>
      <vt:lpstr>TableA8</vt:lpstr>
      <vt:lpstr>TableA9</vt:lpstr>
      <vt:lpstr>Vdesc</vt:lpstr>
      <vt:lpstr>Vote</vt:lpstr>
      <vt:lpstr>Vote1</vt:lpstr>
      <vt:lpstr>Vote10</vt:lpstr>
      <vt:lpstr>Vote11</vt:lpstr>
      <vt:lpstr>Vote12</vt:lpstr>
      <vt:lpstr>Vote13</vt:lpstr>
      <vt:lpstr>Vote14</vt:lpstr>
      <vt:lpstr>Vote15</vt:lpstr>
      <vt:lpstr>Vote2</vt:lpstr>
      <vt:lpstr>Vote3</vt:lpstr>
      <vt:lpstr>Vote4</vt:lpstr>
      <vt:lpstr>Vote5</vt:lpstr>
      <vt:lpstr>Vote6</vt:lpstr>
      <vt:lpstr>Vote7</vt:lpstr>
      <vt:lpstr>Vote8</vt:lpstr>
      <vt:lpstr>Vote9</vt:lpstr>
    </vt:vector>
  </TitlesOfParts>
  <Company>ctc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format template</dc:title>
  <dc:subject>Standard municipality</dc:subject>
  <dc:creator>Nigel Graves</dc:creator>
  <cp:lastModifiedBy>Miriam</cp:lastModifiedBy>
  <cp:lastPrinted>2012-08-30T13:53:13Z</cp:lastPrinted>
  <dcterms:created xsi:type="dcterms:W3CDTF">2004-04-07T16:19:08Z</dcterms:created>
  <dcterms:modified xsi:type="dcterms:W3CDTF">2013-09-09T11:53:54Z</dcterms:modified>
</cp:coreProperties>
</file>